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5421" documentId="14_{3A56DEAC-B089-49D3-B0A6-B9E59AE3BC1B}" xr6:coauthVersionLast="47" xr6:coauthVersionMax="47" xr10:uidLastSave="{B8FA570C-8A0C-4EB2-B365-46BDDA82B317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Accessories!$A$4:$M$50</definedName>
    <definedName name="_xlnm._FilterDatabase" localSheetId="14" hidden="1">'Aviation Paint'!$A$4:$I$104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Tracker'!$A$4:$O$187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Stringing!$A$5:$Y$43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46" l="1"/>
  <c r="F42" i="46"/>
  <c r="F41" i="46"/>
  <c r="I17" i="26"/>
  <c r="H18" i="26"/>
  <c r="H16" i="26"/>
  <c r="H17" i="26"/>
  <c r="D103" i="98"/>
  <c r="D102" i="98"/>
  <c r="D101" i="98"/>
  <c r="D100" i="98"/>
  <c r="H21" i="48"/>
  <c r="D99" i="98" l="1"/>
  <c r="D98" i="98"/>
  <c r="D97" i="98"/>
  <c r="D96" i="98"/>
  <c r="D86" i="98"/>
  <c r="D87" i="98"/>
  <c r="D88" i="98"/>
  <c r="D89" i="98"/>
  <c r="D90" i="98"/>
  <c r="D91" i="98"/>
  <c r="D92" i="98"/>
  <c r="D93" i="98"/>
  <c r="D94" i="98"/>
  <c r="D95" i="98"/>
  <c r="H211" i="50"/>
  <c r="H210" i="50"/>
  <c r="G20" i="48"/>
  <c r="E39" i="46"/>
  <c r="A211" i="50"/>
  <c r="A210" i="50"/>
  <c r="C211" i="50"/>
  <c r="C210" i="50"/>
  <c r="C197" i="50"/>
  <c r="A198" i="50"/>
  <c r="A197" i="50"/>
  <c r="E42" i="46"/>
  <c r="D16" i="99" s="1"/>
  <c r="H207" i="50"/>
  <c r="H206" i="50"/>
  <c r="D19" i="99"/>
  <c r="E40" i="46"/>
  <c r="D85" i="98" l="1"/>
  <c r="D84" i="98"/>
  <c r="E272" i="45"/>
  <c r="J73" i="97"/>
  <c r="I37" i="46"/>
  <c r="H37" i="46" s="1"/>
  <c r="I38" i="46"/>
  <c r="H38" i="46" s="1"/>
  <c r="E36" i="46"/>
  <c r="E37" i="46"/>
  <c r="C209" i="50"/>
  <c r="C208" i="50"/>
  <c r="C207" i="50"/>
  <c r="C206" i="50"/>
  <c r="H2" i="99" l="1"/>
  <c r="C205" i="50"/>
  <c r="G263" i="45"/>
  <c r="I34" i="46"/>
  <c r="H34" i="46" s="1"/>
  <c r="I4" i="95"/>
  <c r="J4" i="95"/>
  <c r="G261" i="45"/>
  <c r="F262" i="45" s="1"/>
  <c r="G262" i="45" s="1"/>
  <c r="E43" i="46"/>
  <c r="D11" i="99" l="1"/>
  <c r="I33" i="46"/>
  <c r="AQ98" i="81"/>
  <c r="G18" i="26"/>
  <c r="G17" i="26"/>
  <c r="E14" i="26" l="1"/>
  <c r="E18" i="26"/>
  <c r="E17" i="26"/>
  <c r="E16" i="26"/>
  <c r="E34" i="46"/>
  <c r="D18" i="99" l="1"/>
  <c r="A309" i="38"/>
  <c r="A310" i="38" s="1"/>
  <c r="A311" i="38" s="1"/>
  <c r="E38" i="46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D15" i="99" l="1"/>
  <c r="I7" i="97"/>
  <c r="I6" i="97"/>
  <c r="F7" i="97"/>
  <c r="G7" i="97" s="1"/>
  <c r="F6" i="97"/>
  <c r="G6" i="97" s="1"/>
  <c r="E7" i="97"/>
  <c r="J7" i="97" s="1"/>
  <c r="E6" i="97"/>
  <c r="A100" i="98" l="1"/>
  <c r="A101" i="98" s="1"/>
  <c r="A102" i="98" s="1"/>
  <c r="A103" i="98" s="1"/>
  <c r="A104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G5" i="97" s="1"/>
  <c r="D5" i="97"/>
  <c r="I3" i="95"/>
  <c r="D6" i="97" l="1"/>
  <c r="N6" i="97" s="1"/>
  <c r="C77" i="97"/>
  <c r="C17" i="26"/>
  <c r="H7" i="26"/>
  <c r="J7" i="26" s="1"/>
  <c r="K7" i="26" s="1"/>
  <c r="D16" i="26"/>
  <c r="D17" i="26"/>
  <c r="D18" i="26"/>
  <c r="D19" i="26"/>
  <c r="J8" i="26"/>
  <c r="L6" i="46" l="1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J3" i="95" l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M2" i="95" l="1"/>
  <c r="R31" i="4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5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D41" i="98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3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E256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64" i="45" l="1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69" i="98" s="1"/>
  <c r="D302" i="33"/>
  <c r="D303" i="33"/>
  <c r="A290" i="33"/>
  <c r="A291" i="33"/>
  <c r="A296" i="33"/>
  <c r="E99" i="45" l="1"/>
  <c r="D24" i="98"/>
  <c r="E163" i="45"/>
  <c r="D101" i="96"/>
  <c r="R299" i="33"/>
  <c r="D307" i="38"/>
  <c r="E264" i="45" s="1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172" i="45" l="1"/>
  <c r="D25" i="98"/>
  <c r="R295" i="33"/>
  <c r="R303" i="33"/>
  <c r="R302" i="33"/>
  <c r="D280" i="37"/>
  <c r="D271" i="38"/>
  <c r="E257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E262" i="45" s="1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5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262" i="37"/>
  <c r="D237" i="38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60" i="45" l="1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81" i="98" s="1"/>
  <c r="D226" i="37"/>
  <c r="D161" i="38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8" i="45" s="1"/>
  <c r="D288" i="33"/>
  <c r="E170" i="45" l="1"/>
  <c r="D45" i="98"/>
  <c r="E161" i="45"/>
  <c r="D99" i="96"/>
  <c r="R274" i="33"/>
  <c r="R279" i="33"/>
  <c r="D300" i="38"/>
  <c r="E263" i="45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E121" i="45" l="1"/>
  <c r="D62" i="98"/>
  <c r="D207" i="38"/>
  <c r="E150" i="45"/>
  <c r="D7" i="96"/>
  <c r="R275" i="33"/>
  <c r="R296" i="33"/>
  <c r="R288" i="33"/>
  <c r="D264" i="37"/>
  <c r="D231" i="38"/>
  <c r="D70" i="98" s="1"/>
  <c r="D276" i="37"/>
  <c r="D250" i="37"/>
  <c r="D164" i="38"/>
  <c r="D27" i="98" s="1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218" i="37"/>
  <c r="D182" i="38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D18" i="98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9" i="45" s="1"/>
  <c r="E188" i="45"/>
  <c r="D39" i="96"/>
  <c r="D232" i="37"/>
  <c r="D269" i="38"/>
  <c r="E261" i="45" s="1"/>
  <c r="D234" i="37"/>
  <c r="D265" i="38"/>
  <c r="E270" i="45" s="1"/>
  <c r="D247" i="37"/>
  <c r="D258" i="38"/>
  <c r="D207" i="37"/>
  <c r="D158" i="38"/>
  <c r="D13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11" i="98" s="1"/>
  <c r="D249" i="33"/>
  <c r="D150" i="38" s="1"/>
  <c r="D17" i="9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E249" i="45" l="1"/>
  <c r="D77" i="98"/>
  <c r="R263" i="33"/>
  <c r="D213" i="38"/>
  <c r="E251" i="45" s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2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60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32" i="9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E271" i="45" s="1"/>
  <c r="D183" i="37"/>
  <c r="D131" i="38"/>
  <c r="D188" i="37"/>
  <c r="D118" i="38"/>
  <c r="I231" i="33"/>
  <c r="D244" i="37"/>
  <c r="D104" i="38"/>
  <c r="E92" i="45" s="1"/>
  <c r="D59" i="38"/>
  <c r="D212" i="37"/>
  <c r="D86" i="38"/>
  <c r="J231" i="33"/>
  <c r="K231" i="33"/>
  <c r="L231" i="33"/>
  <c r="M231" i="33"/>
  <c r="I191" i="33"/>
  <c r="D57" i="38"/>
  <c r="D49" i="98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41" i="45" l="1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44" i="45" l="1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D48" i="98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72" i="98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4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E268" i="45" s="1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E266" i="45" s="1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125" i="45" l="1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D26" i="98" s="1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D19" i="98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D21" i="98" s="1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71" i="98" s="1"/>
  <c r="D109" i="33"/>
  <c r="D170" i="38" s="1"/>
  <c r="D42" i="9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H111" i="38"/>
  <c r="I111" i="38"/>
  <c r="D121" i="37"/>
  <c r="D70" i="38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107" i="45" l="1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D23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E267" i="45" s="1"/>
  <c r="D100" i="37"/>
  <c r="D209" i="38"/>
  <c r="I103" i="33"/>
  <c r="J103" i="33"/>
  <c r="K103" i="33"/>
  <c r="L103" i="33"/>
  <c r="K101" i="33"/>
  <c r="L101" i="33"/>
  <c r="J101" i="33"/>
  <c r="M101" i="33"/>
  <c r="I101" i="33"/>
  <c r="J165" i="81"/>
  <c r="E166" i="45" l="1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83" i="98" s="1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20" i="9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D79" i="9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22" i="9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l="1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22" i="45" l="1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47" i="9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23" i="9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29" i="45" l="1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26" i="45" l="1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D39" i="9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D29" i="9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19" i="45" l="1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E130" i="45" l="1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28" i="9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37" i="98" s="1"/>
  <c r="D16" i="33"/>
  <c r="D17" i="33"/>
  <c r="D18" i="33"/>
  <c r="D19" i="33"/>
  <c r="D20" i="33"/>
  <c r="D36" i="38" s="1"/>
  <c r="D35" i="98" s="1"/>
  <c r="D21" i="33"/>
  <c r="D22" i="33"/>
  <c r="D167" i="38" s="1"/>
  <c r="D23" i="33"/>
  <c r="D40" i="38" s="1"/>
  <c r="D38" i="98" s="1"/>
  <c r="D24" i="33"/>
  <c r="D25" i="33"/>
  <c r="D26" i="33"/>
  <c r="D27" i="33"/>
  <c r="D28" i="33"/>
  <c r="D29" i="33"/>
  <c r="D30" i="33"/>
  <c r="D45" i="38" s="1"/>
  <c r="D33" i="98" s="1"/>
  <c r="D31" i="33"/>
  <c r="D32" i="33"/>
  <c r="D33" i="33"/>
  <c r="D34" i="33"/>
  <c r="D48" i="38" s="1"/>
  <c r="D36" i="9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31" i="98" s="1"/>
  <c r="D46" i="33"/>
  <c r="D47" i="33"/>
  <c r="D48" i="33"/>
  <c r="D49" i="33"/>
  <c r="D191" i="38" s="1"/>
  <c r="D43" i="9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24" i="45" l="1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5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D66" i="37"/>
  <c r="D196" i="38"/>
  <c r="H175" i="38"/>
  <c r="I175" i="38"/>
  <c r="H167" i="38"/>
  <c r="I167" i="38"/>
  <c r="D126" i="37"/>
  <c r="D138" i="38"/>
  <c r="D16" i="98" s="1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13" i="37"/>
  <c r="D71" i="38"/>
  <c r="D14" i="98" s="1"/>
  <c r="L165" i="81"/>
  <c r="I52" i="38"/>
  <c r="H52" i="38"/>
  <c r="D124" i="37"/>
  <c r="D56" i="38"/>
  <c r="D60" i="98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D35" i="37"/>
  <c r="D22" i="38"/>
  <c r="D73" i="98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59" i="98" s="1"/>
  <c r="D18" i="38"/>
  <c r="D5" i="38"/>
  <c r="D9" i="98" l="1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5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F35" i="46" s="1"/>
  <c r="F36" i="46" s="1"/>
  <c r="F37" i="46" s="1"/>
  <c r="F38" i="46" s="1"/>
  <c r="F39" i="46" s="1"/>
  <c r="F40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<sst xmlns="http://schemas.openxmlformats.org/spreadsheetml/2006/main" count="23044" uniqueCount="1871">
  <si>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</si>
  <si>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</si>
  <si>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</si>
  <si>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</si>
  <si>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</si>
  <si>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</si>
  <si>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</si>
  <si>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</si>
  <si>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</si>
  <si>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</si>
  <si>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</si>
  <si>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</si>
  <si>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</si>
  <si>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</si>
  <si>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</si>
  <si>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</si>
  <si>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</si>
  <si>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</si>
  <si>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</si>
  <si>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</si>
  <si>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</si>
  <si>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</si>
  <si>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</si>
  <si>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</si>
  <si>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</si>
  <si>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</si>
  <si>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</si>
  <si>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</si>
  <si>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</si>
  <si>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</si>
  <si>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</si>
  <si>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</si>
  <si>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</si>
  <si>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</si>
  <si>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</si>
  <si>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</si>
  <si>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</si>
  <si>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</si>
  <si>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</si>
  <si>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</si>
  <si>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</si>
  <si>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</si>
  <si>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</si>
  <si>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</si>
  <si>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</si>
  <si>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</si>
  <si>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</si>
  <si>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</si>
  <si>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</si>
  <si>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</si>
  <si>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</si>
  <si>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</si>
  <si>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</si>
  <si>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</si>
  <si>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</si>
  <si>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</si>
  <si>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</si>
  <si>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</si>
  <si>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</si>
  <si>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</si>
  <si>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</si>
  <si>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</si>
  <si>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</si>
  <si>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</si>
  <si>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</si>
  <si>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</si>
  <si>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</si>
  <si>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</si>
  <si>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</si>
  <si>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</si>
  <si>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</si>
  <si>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</si>
  <si>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</si>
  <si>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</si>
  <si>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</si>
  <si>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</si>
  <si>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</si>
  <si>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</si>
  <si>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</si>
  <si>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</si>
  <si>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</si>
  <si>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</si>
  <si>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</si>
  <si>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</si>
  <si>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</si>
  <si>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</si>
  <si>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</si>
  <si>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</si>
  <si>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</si>
  <si>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</si>
  <si>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</si>
  <si>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</si>
  <si>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</si>
  <si>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</si>
  <si>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</si>
  <si>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</si>
  <si>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</si>
  <si>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</si>
  <si>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</si>
  <si>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</si>
  <si>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</si>
  <si>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</si>
  <si>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</si>
  <si>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</si>
  <si>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</si>
  <si>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</si>
  <si>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</si>
  <si>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</si>
  <si>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</si>
  <si>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</si>
  <si>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</si>
  <si>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</si>
  <si>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</si>
  <si>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</si>
  <si>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</si>
  <si>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</si>
  <si>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</si>
  <si>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</si>
  <si>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</si>
  <si>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</si>
  <si>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</si>
  <si>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</si>
  <si>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</si>
  <si>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</si>
  <si>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</si>
  <si>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</si>
  <si>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</si>
  <si>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</si>
  <si>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</si>
  <si>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</si>
  <si>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</si>
  <si>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</si>
  <si>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</si>
  <si>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</si>
  <si>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</si>
  <si>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</si>
  <si>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</si>
  <si>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</si>
  <si>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</si>
  <si>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</si>
  <si>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</si>
  <si>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</si>
  <si>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</si>
  <si>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</si>
  <si>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</si>
  <si>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</si>
  <si>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</si>
  <si>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</si>
  <si>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</si>
  <si>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</si>
  <si>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</si>
  <si>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</si>
  <si>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</si>
  <si>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</si>
  <si>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</si>
  <si>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</si>
  <si>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</si>
  <si>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</si>
  <si>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</si>
  <si>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</si>
  <si>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</si>
  <si>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</si>
  <si>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</si>
  <si>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</si>
  <si>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</si>
  <si>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</si>
  <si>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</si>
  <si>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</si>
  <si>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</si>
  <si>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</si>
  <si>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</si>
  <si>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</si>
  <si>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</si>
  <si>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</si>
  <si>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</si>
  <si>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</si>
  <si>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</si>
  <si>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</si>
  <si>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</si>
  <si>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</si>
  <si>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</si>
  <si>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</si>
  <si>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</si>
  <si>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</si>
  <si>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</si>
  <si>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</si>
  <si>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</si>
  <si>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</si>
  <si>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</si>
  <si>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</si>
  <si>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</si>
  <si>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</si>
  <si>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</si>
  <si>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</si>
  <si>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</si>
  <si>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</si>
  <si>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</si>
  <si>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</si>
  <si>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</si>
  <si>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</si>
  <si>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</si>
  <si>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</si>
  <si>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</si>
  <si>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</si>
  <si>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</si>
  <si>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</si>
  <si>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</si>
  <si>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</si>
  <si>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</si>
  <si>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</si>
  <si>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</si>
  <si>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</si>
  <si>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</si>
  <si>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</si>
  <si>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</si>
  <si>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</si>
  <si>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</si>
  <si>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</si>
  <si>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</si>
  <si>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</si>
  <si>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</si>
  <si>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</si>
  <si>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</si>
  <si>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</si>
  <si>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</si>
  <si>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</si>
  <si>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</si>
  <si>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</si>
  <si>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</si>
  <si>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</si>
  <si>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</si>
  <si>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</si>
  <si>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</si>
  <si>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</si>
  <si>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</si>
  <si>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</si>
  <si>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</si>
  <si>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</si>
  <si>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</si>
  <si>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</si>
  <si>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</si>
  <si>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</si>
  <si>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</si>
  <si>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</si>
  <si>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</si>
  <si>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</si>
  <si>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</si>
  <si>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</si>
  <si>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</si>
  <si>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</si>
  <si>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</si>
  <si>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</si>
  <si>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</si>
  <si>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</si>
  <si>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</si>
  <si>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</si>
  <si>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</si>
  <si>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</si>
  <si>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</si>
  <si>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</si>
  <si>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</si>
  <si>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</si>
  <si>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</si>
  <si>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</si>
  <si>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</si>
  <si>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</si>
  <si>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</si>
  <si>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</si>
  <si>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</si>
  <si>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</si>
  <si>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</si>
  <si>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</si>
  <si>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</si>
  <si>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</si>
  <si>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</si>
  <si>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</si>
  <si>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</si>
  <si>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</si>
  <si>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</si>
  <si>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</si>
  <si>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</si>
  <si>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</si>
  <si>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</si>
  <si>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</si>
  <si>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</si>
  <si>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</si>
  <si>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</si>
  <si>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</si>
  <si>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</si>
  <si>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</si>
  <si>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</si>
  <si>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</si>
  <si>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</si>
  <si>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</si>
  <si>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</si>
  <si>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</si>
  <si>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</si>
  <si>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</si>
  <si>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</si>
  <si>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</si>
  <si>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</si>
  <si>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</si>
  <si>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</si>
  <si>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</si>
  <si>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</si>
  <si>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</si>
  <si>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</si>
  <si>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</si>
  <si>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</si>
  <si>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</si>
  <si>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</si>
  <si>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</si>
  <si>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</si>
  <si>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</si>
  <si>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</si>
  <si>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</si>
  <si>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</si>
  <si>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</si>
  <si>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</si>
  <si>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</si>
  <si>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</si>
  <si>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</si>
  <si>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</si>
  <si>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</si>
  <si>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</si>
  <si>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</si>
  <si>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</si>
  <si>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</si>
  <si>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</si>
  <si>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</si>
  <si>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</si>
  <si>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</si>
  <si>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</si>
  <si>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</si>
  <si>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</si>
  <si>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</si>
  <si>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</si>
  <si>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</si>
  <si>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</si>
  <si>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</si>
  <si>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</si>
  <si>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</si>
  <si>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</si>
  <si>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</si>
  <si>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</si>
  <si>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</si>
  <si>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</si>
  <si>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</si>
  <si>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</si>
  <si>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</si>
  <si>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</si>
  <si>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</si>
  <si>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</si>
  <si>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</si>
  <si>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</si>
  <si>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</si>
  <si>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</si>
  <si>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</si>
  <si>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</si>
  <si>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</si>
  <si>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</si>
  <si>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</si>
  <si>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</si>
  <si>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</si>
  <si>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</si>
  <si>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</si>
  <si>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</si>
  <si>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</si>
  <si>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</si>
  <si>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</si>
  <si>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</si>
  <si>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</si>
  <si>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</si>
  <si>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</si>
  <si>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</si>
  <si>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</si>
  <si>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</si>
  <si>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</si>
  <si>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</si>
  <si>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</si>
  <si>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</si>
  <si>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</si>
  <si>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</si>
  <si>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</si>
  <si>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</si>
  <si>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</si>
  <si>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</si>
  <si>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</si>
  <si>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</si>
  <si>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</si>
  <si>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</si>
  <si>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</si>
  <si>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</si>
  <si>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</si>
  <si>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</si>
  <si>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</si>
  <si>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</si>
  <si>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</si>
  <si>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</si>
  <si>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</si>
  <si>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</si>
  <si>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</si>
  <si>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</si>
  <si>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</si>
  <si>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</si>
  <si>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</si>
  <si>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</si>
  <si>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</si>
  <si>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</si>
  <si>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</si>
  <si>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</si>
  <si>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</si>
  <si>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</si>
  <si>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</si>
  <si>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</si>
  <si>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</si>
  <si>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</si>
  <si>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</si>
  <si>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</si>
  <si>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</si>
  <si>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</si>
  <si>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</si>
  <si>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</si>
  <si>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</si>
  <si>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</si>
  <si>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</si>
  <si>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</si>
  <si>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</si>
  <si>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</si>
  <si>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</si>
  <si>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</si>
  <si>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</si>
  <si>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</si>
  <si>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</si>
  <si>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</si>
  <si>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</si>
  <si>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</si>
  <si>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</si>
  <si>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</si>
  <si>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</si>
  <si>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</si>
  <si>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</si>
  <si>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</si>
  <si>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</si>
  <si>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</si>
  <si>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</si>
  <si>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</si>
  <si>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</si>
  <si>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</si>
  <si>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</si>
  <si>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</si>
  <si>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</si>
  <si>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</si>
  <si>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</si>
  <si>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</si>
  <si>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</si>
  <si>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</si>
  <si>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</si>
  <si>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</si>
  <si>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</si>
  <si>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</si>
  <si>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</si>
  <si>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</si>
  <si>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</si>
  <si>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</si>
  <si>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</si>
  <si>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</si>
  <si>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</si>
  <si>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</si>
  <si>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</si>
  <si>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</si>
  <si>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</si>
  <si>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</si>
  <si>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</si>
  <si>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</si>
  <si>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</si>
  <si>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</si>
  <si>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</si>
  <si>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</si>
  <si>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</si>
  <si>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</si>
  <si>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</si>
  <si>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</si>
  <si>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</si>
  <si>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</si>
  <si>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</si>
  <si>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</si>
  <si>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</si>
  <si>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</si>
  <si>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</si>
  <si>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</si>
  <si>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</si>
  <si>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</si>
  <si>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</si>
  <si>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</si>
  <si>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</si>
  <si>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</si>
  <si>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</si>
  <si>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</si>
  <si>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</si>
  <si>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</si>
  <si>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</si>
  <si>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</si>
  <si>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</si>
  <si>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</si>
  <si>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</si>
  <si>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</si>
  <si>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</si>
  <si>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</si>
  <si>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</si>
  <si>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</si>
  <si>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</si>
  <si>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</si>
  <si>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</si>
  <si>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</si>
  <si>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</si>
  <si>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</si>
  <si>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</si>
  <si>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</si>
  <si>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</si>
  <si>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</si>
  <si>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</si>
  <si>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</si>
  <si>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</si>
  <si>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</si>
  <si>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</si>
  <si>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</si>
  <si>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</si>
  <si>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</si>
  <si>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</si>
  <si>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</si>
  <si>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</si>
  <si>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</si>
  <si>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</si>
  <si>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</si>
  <si>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</si>
  <si>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</si>
  <si>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</si>
  <si>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</si>
  <si>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</si>
  <si>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</si>
  <si>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</si>
  <si>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</si>
  <si>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</si>
  <si>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</si>
  <si>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</si>
  <si>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</si>
  <si>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</si>
  <si>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</si>
  <si>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</si>
  <si>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</si>
  <si>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</si>
  <si>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</si>
  <si>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</si>
  <si>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</si>
  <si>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</si>
  <si>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</si>
  <si>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</si>
  <si>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</si>
  <si>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</si>
  <si>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</si>
  <si>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</si>
  <si>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</si>
  <si>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</si>
  <si>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</si>
  <si>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</si>
  <si>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</si>
  <si>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</si>
  <si>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</si>
  <si>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</si>
  <si>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</si>
  <si>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</si>
  <si>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</si>
  <si>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</si>
  <si>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</si>
  <si>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</si>
  <si>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</si>
  <si>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</si>
  <si>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</si>
  <si>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</si>
  <si>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</si>
  <si>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</si>
  <si>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</si>
  <si>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</si>
  <si>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</si>
  <si>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</si>
  <si>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</si>
  <si>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</si>
  <si>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</si>
  <si>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</si>
  <si>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</si>
  <si>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</si>
  <si>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</si>
  <si>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</si>
  <si>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</si>
  <si>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</si>
  <si>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</si>
  <si>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</si>
  <si>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</si>
  <si>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</si>
  <si>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</si>
  <si>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</si>
  <si>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</si>
  <si>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</si>
  <si>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</si>
  <si>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</si>
  <si>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</si>
  <si>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</si>
  <si>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</si>
  <si>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</si>
  <si>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</si>
  <si>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</si>
  <si>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</si>
  <si>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</si>
  <si>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</si>
  <si>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</si>
  <si>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</si>
  <si>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</si>
  <si>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</si>
  <si>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</si>
  <si>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</si>
  <si>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</si>
  <si>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</si>
  <si>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</si>
  <si>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</si>
  <si>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</si>
  <si>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</si>
  <si>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</si>
  <si>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</si>
  <si>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</si>
  <si>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</si>
  <si>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</si>
  <si>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</si>
  <si>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</si>
  <si>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</si>
  <si>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</si>
  <si>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</si>
  <si>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</si>
  <si>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</si>
  <si>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</si>
  <si>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</si>
  <si>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</si>
  <si>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</si>
  <si>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</si>
  <si>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</si>
  <si>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</si>
  <si>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</si>
  <si>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</si>
  <si>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</si>
  <si>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</si>
  <si>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</si>
  <si>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</si>
  <si>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</si>
  <si>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</si>
  <si>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</si>
  <si>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</si>
  <si>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</si>
  <si>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</si>
  <si>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</si>
  <si>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</si>
  <si>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</si>
  <si>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</si>
  <si>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</si>
  <si>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</si>
  <si>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</si>
  <si>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</si>
  <si>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</si>
  <si>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</si>
  <si>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</si>
  <si>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</si>
  <si>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</si>
  <si>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</si>
  <si>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</si>
  <si>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</si>
  <si>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</si>
  <si>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</si>
  <si>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</si>
  <si>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</si>
  <si>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</si>
  <si>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</si>
  <si>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</si>
  <si>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</si>
  <si>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</si>
  <si>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</si>
  <si>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</si>
  <si>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</si>
  <si>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</si>
  <si>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</si>
  <si>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</si>
  <si>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</si>
  <si>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</si>
  <si>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</si>
  <si>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</si>
  <si>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</si>
  <si>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</si>
  <si>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</si>
  <si>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</si>
  <si>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</si>
  <si>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</si>
  <si>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</si>
  <si>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</si>
  <si>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</si>
  <si>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</si>
  <si>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</si>
  <si>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</si>
  <si>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</si>
  <si>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</si>
  <si>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</si>
  <si>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</si>
  <si>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</si>
  <si>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</si>
  <si>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</si>
  <si>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</si>
  <si>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</si>
  <si>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</si>
  <si>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</si>
  <si>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</si>
  <si>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</si>
  <si>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</si>
  <si>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</si>
  <si>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</si>
  <si>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</si>
  <si>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</si>
  <si>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</si>
  <si>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</si>
  <si>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</si>
  <si>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</si>
  <si>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</si>
  <si>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</si>
  <si>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</si>
  <si>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</si>
  <si>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</si>
  <si>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</si>
  <si>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</si>
  <si>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</si>
  <si>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</si>
  <si>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</si>
  <si>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</si>
  <si>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</si>
  <si>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</si>
  <si>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</si>
  <si>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</si>
  <si>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</si>
  <si>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</si>
  <si>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</si>
  <si>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</si>
  <si>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</si>
  <si>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</si>
  <si>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</si>
  <si>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</si>
  <si>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</si>
  <si>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</si>
  <si>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</si>
  <si>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</si>
  <si>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</si>
  <si>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</si>
  <si>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</si>
  <si>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</si>
  <si>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</si>
  <si>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</si>
  <si>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</si>
  <si>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</si>
  <si>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</si>
  <si>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</si>
  <si>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</si>
  <si>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</si>
  <si>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</si>
  <si>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</si>
  <si>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</si>
  <si>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</si>
  <si>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</si>
  <si>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</si>
  <si>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</si>
  <si>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</si>
  <si>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</si>
  <si>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</si>
  <si>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</si>
  <si>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</si>
  <si>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</si>
  <si>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</si>
  <si>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</si>
  <si>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</si>
  <si>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</si>
  <si>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</si>
  <si>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</si>
  <si>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</si>
  <si>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</si>
  <si>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</si>
  <si>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</si>
  <si>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</si>
  <si>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</si>
  <si>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</si>
  <si>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</si>
  <si>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</si>
  <si>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</si>
  <si>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</si>
  <si>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</si>
  <si>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</si>
  <si>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</si>
  <si>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</si>
  <si>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</si>
  <si>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</si>
  <si>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</si>
  <si>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</si>
  <si>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</si>
  <si>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</si>
  <si>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</si>
  <si>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</si>
  <si>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</si>
  <si>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</si>
  <si>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</si>
  <si>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</si>
  <si>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</si>
  <si>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</si>
  <si>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</si>
  <si>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</si>
  <si>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</si>
  <si>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</si>
  <si>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</si>
  <si>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</si>
  <si>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</si>
  <si>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</si>
  <si>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</si>
  <si>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</si>
  <si>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</si>
  <si>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</si>
  <si>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</si>
  <si>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</si>
  <si>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</si>
  <si>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</si>
  <si>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</si>
  <si>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</si>
  <si>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</si>
  <si>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</si>
  <si>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</si>
  <si>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</si>
  <si>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</si>
  <si>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</si>
  <si>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</si>
  <si>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</si>
  <si>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</si>
  <si>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</si>
  <si>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</si>
  <si>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</si>
  <si>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</si>
  <si>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</si>
  <si>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</si>
  <si>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</si>
  <si>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</si>
  <si>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</si>
  <si>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</si>
  <si>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</si>
  <si>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</si>
  <si>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</si>
  <si>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</si>
  <si>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</si>
  <si>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</si>
  <si>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</si>
  <si>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</si>
  <si>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</si>
  <si>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</si>
  <si>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</si>
  <si>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</si>
  <si>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</si>
  <si>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</si>
  <si>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</si>
  <si>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</si>
  <si>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</si>
  <si>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</si>
  <si>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</si>
  <si>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</si>
  <si>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</si>
  <si>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</si>
  <si>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</si>
  <si>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</si>
  <si>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</si>
  <si>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</si>
  <si>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</si>
  <si>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</si>
  <si>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</si>
  <si>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</si>
  <si>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</si>
  <si>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</si>
  <si>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</si>
  <si>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</si>
  <si>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</si>
  <si>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</si>
  <si>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</si>
  <si>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</si>
  <si>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</si>
  <si>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</si>
  <si>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</si>
  <si>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</si>
  <si>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</si>
  <si>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</si>
  <si>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</si>
  <si>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</si>
  <si>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</si>
  <si>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</si>
  <si>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</si>
  <si>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</si>
  <si>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</si>
  <si>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</si>
  <si>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</si>
  <si>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</si>
  <si>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</si>
  <si>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</si>
  <si>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</si>
  <si>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</si>
  <si>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</si>
  <si>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</si>
  <si>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</si>
  <si>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</si>
  <si>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</si>
  <si>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</si>
  <si>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</si>
  <si>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</si>
  <si>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</si>
  <si>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</si>
  <si>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</si>
  <si>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</si>
  <si>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</si>
  <si>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</si>
  <si>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</si>
  <si>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</si>
  <si>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</si>
  <si>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</si>
  <si>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</si>
  <si>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</si>
  <si>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</si>
  <si>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</si>
  <si>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</si>
  <si>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</si>
  <si>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</si>
  <si>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</si>
  <si>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</si>
  <si>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</si>
  <si>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</si>
  <si>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</si>
  <si>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</si>
  <si>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</si>
  <si>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</si>
  <si>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</si>
  <si>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</si>
  <si>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</si>
  <si>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</si>
  <si>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</si>
  <si>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</si>
  <si>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</si>
  <si>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</si>
  <si>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</si>
  <si>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</si>
  <si>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</si>
  <si>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</si>
  <si>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</si>
  <si>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</si>
  <si>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</si>
  <si>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</si>
  <si>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</si>
  <si>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</si>
  <si>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</si>
  <si>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</si>
  <si>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</si>
  <si>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</si>
  <si>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</si>
  <si>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</si>
  <si>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</si>
  <si>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</si>
  <si>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</si>
  <si>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</si>
  <si>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</si>
  <si>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</si>
  <si>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</si>
  <si>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</si>
  <si>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</si>
  <si>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</si>
  <si>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</si>
  <si>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</si>
  <si>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</si>
  <si>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</si>
  <si>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</si>
  <si>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</si>
  <si>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</si>
  <si>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</si>
  <si>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</si>
  <si>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</si>
  <si>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</si>
  <si>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</si>
  <si>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</si>
  <si>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</si>
  <si>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</si>
  <si>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</si>
  <si>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</si>
  <si>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</si>
  <si>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</si>
  <si>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</si>
  <si>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</si>
  <si>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</si>
  <si>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</si>
  <si>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</si>
  <si>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</si>
  <si>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</si>
  <si>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</si>
  <si>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</si>
  <si>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</si>
  <si>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</si>
  <si>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</si>
  <si>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</si>
  <si>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</si>
  <si>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</si>
  <si>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</si>
  <si>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</si>
  <si>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</si>
  <si>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</si>
  <si>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</si>
  <si>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</si>
  <si>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</si>
  <si>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</si>
  <si>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</si>
  <si>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</si>
  <si>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</si>
  <si>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</si>
  <si>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</si>
  <si>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</si>
  <si>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</si>
  <si>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</si>
  <si>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</si>
  <si>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</si>
  <si>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</si>
  <si>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</si>
  <si>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</si>
  <si>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</si>
  <si>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</si>
  <si>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</si>
  <si>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</si>
  <si>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</si>
  <si>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</si>
  <si>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</si>
  <si>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</si>
  <si>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</si>
  <si>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</si>
  <si>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</si>
  <si>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</si>
  <si>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</si>
  <si>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</si>
  <si>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</si>
  <si>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</si>
  <si>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</si>
  <si>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</si>
  <si>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</si>
  <si>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</si>
  <si>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</si>
  <si>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</si>
  <si>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</si>
  <si>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</si>
  <si>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</si>
  <si>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</si>
  <si>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</si>
  <si>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</si>
  <si>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</si>
  <si>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</si>
  <si>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</si>
  <si>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</si>
  <si>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</si>
  <si>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</si>
  <si>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</si>
  <si>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</si>
  <si>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</si>
  <si>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</si>
  <si>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</si>
  <si>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</si>
  <si>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</si>
  <si>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</si>
  <si>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</si>
  <si>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</si>
  <si>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</si>
  <si>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</si>
  <si>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</si>
  <si>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</si>
  <si>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</si>
  <si>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</si>
  <si>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</si>
  <si>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</si>
  <si>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</si>
  <si>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</si>
  <si>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</si>
  <si>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</si>
  <si>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</si>
  <si>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</si>
  <si>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</si>
  <si>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</si>
  <si>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</si>
  <si>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</si>
  <si>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</si>
  <si>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</si>
  <si>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</si>
  <si>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</si>
  <si>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</si>
  <si>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</si>
  <si>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</si>
  <si>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</si>
  <si>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</si>
  <si>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</si>
  <si>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</si>
  <si>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</si>
  <si>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</si>
  <si>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</si>
  <si>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</si>
  <si>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</si>
  <si>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</si>
  <si>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</si>
  <si>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</si>
  <si>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</si>
  <si>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</si>
  <si>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</si>
  <si>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</si>
  <si>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</si>
  <si>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</si>
  <si>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</si>
  <si>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</si>
  <si>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</si>
  <si>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</si>
  <si>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</si>
  <si>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</si>
  <si>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</si>
  <si>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</si>
  <si>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</si>
  <si>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</si>
  <si>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</si>
  <si>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</si>
  <si>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</si>
  <si>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</si>
  <si>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</si>
  <si>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</si>
  <si>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</si>
  <si>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</si>
  <si>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</si>
  <si>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</si>
  <si>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</si>
  <si>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</si>
  <si>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</si>
  <si>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</si>
  <si>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</si>
  <si>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</si>
  <si>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</si>
  <si>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</si>
  <si>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</si>
  <si>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</si>
  <si>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</si>
  <si>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</si>
  <si>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</si>
  <si>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</si>
  <si>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</si>
  <si>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</si>
  <si>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</si>
  <si>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</si>
  <si>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</si>
  <si>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</si>
  <si>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</si>
  <si>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</si>
  <si>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</si>
  <si>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</si>
  <si>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</si>
  <si>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</si>
  <si>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</si>
  <si>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</si>
  <si>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</si>
  <si>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</si>
  <si>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</si>
  <si>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</si>
  <si>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</si>
  <si>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</si>
  <si>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</si>
  <si>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</si>
  <si>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</si>
  <si>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</si>
  <si>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</si>
  <si>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</si>
  <si>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</si>
  <si>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</si>
  <si>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</si>
  <si>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</si>
  <si>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</si>
  <si>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</si>
  <si>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</si>
  <si>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</si>
  <si>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</si>
  <si>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</si>
  <si>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</si>
  <si>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</si>
  <si>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</si>
  <si>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</si>
  <si>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</si>
  <si>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</si>
  <si>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</si>
  <si>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</si>
  <si>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</si>
  <si>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</si>
  <si>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</si>
  <si>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</si>
  <si>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</si>
  <si>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</si>
  <si>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</si>
  <si>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</si>
  <si>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</si>
  <si>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</si>
  <si>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</si>
  <si>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</si>
  <si>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</si>
  <si>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</si>
  <si>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</si>
  <si>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</si>
  <si>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</si>
  <si>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</si>
  <si>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</si>
  <si>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</si>
  <si>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</si>
  <si>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</si>
  <si>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</si>
  <si>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</si>
  <si>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</si>
  <si>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</si>
  <si>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</si>
  <si>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</si>
  <si>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</si>
  <si>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</si>
  <si>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</si>
  <si>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</si>
  <si>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</si>
  <si>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</si>
  <si>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</si>
  <si>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</si>
  <si>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</si>
  <si>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</si>
  <si>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</si>
  <si>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</si>
  <si>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</si>
  <si>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</si>
  <si>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</si>
  <si>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</si>
  <si>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</si>
  <si>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</si>
  <si>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</si>
  <si>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</si>
  <si>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</si>
  <si>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</si>
  <si>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</si>
  <si>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</si>
  <si>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</si>
  <si>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</si>
  <si>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</si>
  <si>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</si>
  <si>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</si>
  <si>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</si>
  <si>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</si>
  <si>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</si>
  <si>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</si>
  <si>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</si>
  <si>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</si>
  <si>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</si>
  <si>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</si>
  <si>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</si>
  <si>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</si>
  <si>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</si>
  <si>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</si>
  <si>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</si>
  <si>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</si>
  <si>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</si>
  <si>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</si>
  <si>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</si>
  <si>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</si>
  <si>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</si>
  <si>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</si>
  <si>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</si>
  <si>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</si>
  <si>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</si>
  <si>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</si>
  <si>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</si>
  <si>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</si>
  <si>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</si>
  <si>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</si>
  <si>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</si>
  <si>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</si>
  <si>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</si>
  <si>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</si>
  <si>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</si>
  <si>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</si>
  <si>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</si>
  <si>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</si>
  <si>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</si>
  <si>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</si>
  <si>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</si>
  <si>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</si>
  <si>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</si>
  <si>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</si>
  <si>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</si>
  <si>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</si>
  <si>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</si>
  <si>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</si>
  <si>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</si>
  <si>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</si>
  <si>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</si>
  <si>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</si>
  <si>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</si>
  <si>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</si>
  <si>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</si>
  <si>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</si>
  <si>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</si>
  <si>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</si>
  <si>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</si>
  <si>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</si>
  <si>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</si>
  <si>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</si>
  <si>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</si>
  <si>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</si>
  <si>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</si>
  <si>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</si>
  <si>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</si>
  <si>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</si>
  <si>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</si>
  <si>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</si>
  <si>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</si>
  <si>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</si>
  <si>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</si>
  <si>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</si>
  <si>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</si>
  <si>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</si>
  <si>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</si>
  <si>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</si>
  <si>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</si>
  <si>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</si>
  <si>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</si>
  <si>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</si>
  <si>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</si>
  <si>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</si>
  <si>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</si>
  <si>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</si>
  <si>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</si>
  <si>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</si>
  <si>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</si>
  <si>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</si>
  <si>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</si>
  <si>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</si>
  <si>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</si>
  <si>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</si>
  <si>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</si>
  <si>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</si>
  <si>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</si>
  <si>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</si>
  <si>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</si>
  <si>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</si>
  <si>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</si>
  <si>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</si>
  <si>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</si>
  <si>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</si>
  <si>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</si>
  <si>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</si>
  <si>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</si>
  <si>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</si>
  <si>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</si>
  <si>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</si>
  <si>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</si>
  <si>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</si>
  <si>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</si>
  <si>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</si>
  <si>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</si>
  <si>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</si>
  <si>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</si>
  <si>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</si>
  <si>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</si>
  <si>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</si>
  <si>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</si>
  <si>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</si>
  <si>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</si>
  <si>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</si>
  <si>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</si>
  <si>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</si>
  <si>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</si>
  <si>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</si>
  <si>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</si>
  <si>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</si>
  <si>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</si>
  <si>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</si>
  <si>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</si>
  <si>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</si>
  <si>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</si>
  <si>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</si>
  <si>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</si>
  <si>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</si>
  <si>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</si>
  <si>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</si>
  <si>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</si>
  <si>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</si>
  <si>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</si>
  <si>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</si>
  <si>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</si>
  <si>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</si>
  <si>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</si>
  <si>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</si>
  <si>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</si>
  <si>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</si>
  <si>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</si>
  <si>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</si>
  <si>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</si>
  <si>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</si>
  <si>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</si>
  <si>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</si>
  <si>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</si>
  <si>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</si>
  <si>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</si>
  <si>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</si>
  <si>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</si>
  <si>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</si>
  <si>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</si>
  <si>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</si>
  <si>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</si>
  <si>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</si>
  <si>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</si>
  <si>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</si>
  <si>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</si>
  <si>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</si>
  <si>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</si>
  <si>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</si>
  <si>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</si>
  <si>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</si>
  <si>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</si>
  <si>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</si>
  <si>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</si>
  <si>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</si>
  <si>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</si>
  <si>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</si>
  <si>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</si>
  <si>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</si>
  <si>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</si>
  <si>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</si>
  <si>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</si>
  <si>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</si>
  <si>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</si>
  <si>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</si>
  <si>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</si>
  <si>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</si>
  <si>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</si>
  <si>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</si>
  <si>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</si>
  <si>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</si>
  <si>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</si>
  <si>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</si>
  <si>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</si>
  <si>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</si>
  <si>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</si>
  <si>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</si>
  <si>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</si>
  <si>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</si>
  <si>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</si>
  <si>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</si>
  <si>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</si>
  <si>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</si>
  <si>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</si>
  <si>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</si>
  <si>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</si>
  <si>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</si>
  <si>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</si>
  <si>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</si>
  <si>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</si>
  <si>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</si>
  <si>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</si>
  <si>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</si>
  <si>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</si>
  <si>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</si>
  <si>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</si>
  <si>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</si>
  <si>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</si>
  <si>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</si>
  <si>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</si>
  <si>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</si>
  <si>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</si>
  <si>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</si>
  <si>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</si>
  <si>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</si>
  <si>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</si>
  <si>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</si>
  <si>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</si>
  <si>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</si>
  <si>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</si>
  <si>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</si>
  <si>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</si>
  <si>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</si>
  <si>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</si>
  <si>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</si>
  <si>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</si>
  <si>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</si>
  <si>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</si>
  <si>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</si>
  <si>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</si>
  <si>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</si>
  <si>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</si>
  <si>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</si>
  <si>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</si>
  <si>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</si>
  <si>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</si>
  <si>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</si>
  <si>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</si>
  <si>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</si>
  <si>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</si>
  <si>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</si>
  <si>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</si>
  <si>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</si>
  <si>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</si>
  <si>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</si>
  <si>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</si>
  <si>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</si>
  <si>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</si>
  <si>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</si>
  <si>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</si>
  <si>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</si>
  <si>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</si>
  <si>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</si>
  <si>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</si>
  <si>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</si>
  <si>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</si>
  <si>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</si>
  <si>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</si>
  <si>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</si>
  <si>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</si>
  <si>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</si>
  <si>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</si>
  <si>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</si>
  <si>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</si>
  <si>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</si>
  <si>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</si>
  <si>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</si>
  <si>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</si>
  <si>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</si>
  <si>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</si>
  <si>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</si>
  <si>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</si>
  <si>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</si>
  <si>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</si>
  <si>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</si>
  <si>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</si>
  <si>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</si>
  <si>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</si>
  <si>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</si>
  <si>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</si>
  <si>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</si>
  <si>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</si>
  <si>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</si>
  <si>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</si>
  <si>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</si>
  <si>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</si>
  <si>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</si>
  <si>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</si>
  <si>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</si>
  <si>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</si>
  <si>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</si>
  <si>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</si>
  <si>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</si>
  <si>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</si>
  <si>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</si>
  <si>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</si>
  <si>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</si>
  <si>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</si>
  <si>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</si>
  <si>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</si>
  <si>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</si>
  <si>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</si>
  <si>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</si>
  <si>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</si>
  <si>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</si>
  <si>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</si>
  <si>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</si>
  <si>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</si>
  <si>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</si>
  <si>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</si>
  <si>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</si>
  <si>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</si>
  <si>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</si>
  <si>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</si>
  <si>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</si>
  <si>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</si>
  <si>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</si>
  <si>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</si>
  <si>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</si>
  <si>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</si>
  <si>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</si>
  <si>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</si>
  <si>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</si>
  <si>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</si>
  <si>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</si>
  <si>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</si>
  <si>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</si>
  <si>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</si>
  <si>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</si>
  <si>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</si>
  <si>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</si>
  <si>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</si>
  <si>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</si>
  <si>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</si>
  <si>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</si>
  <si>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</si>
  <si>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</si>
  <si>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</si>
  <si>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</si>
  <si>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</si>
  <si>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</si>
  <si>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</si>
  <si>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</si>
  <si>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</si>
  <si>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</si>
  <si>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</si>
  <si>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</si>
  <si>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</si>
  <si>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</si>
  <si>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</si>
  <si>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</si>
  <si>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</si>
  <si>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</si>
  <si>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</si>
  <si>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</si>
  <si>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</si>
  <si>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</si>
  <si>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</si>
  <si>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</si>
  <si>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</si>
  <si>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</si>
  <si>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</si>
  <si>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</si>
  <si>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</si>
  <si>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</si>
  <si>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</si>
  <si>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</si>
  <si>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</si>
  <si>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</si>
  <si>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</si>
  <si>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</si>
  <si>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</si>
  <si>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</si>
  <si>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</si>
  <si>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</si>
  <si>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</si>
  <si>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</si>
  <si>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</si>
  <si>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</si>
  <si>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</si>
  <si>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</si>
  <si>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</si>
  <si>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</si>
  <si>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</si>
  <si>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</si>
  <si>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</si>
  <si>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</si>
  <si>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</si>
  <si>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</si>
  <si>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</si>
  <si>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</si>
  <si>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</si>
  <si>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</si>
  <si>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</si>
  <si>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</si>
  <si>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</si>
  <si>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</si>
  <si>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</si>
  <si>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</si>
  <si>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</si>
  <si>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</si>
  <si>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</si>
  <si>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</si>
  <si>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</si>
  <si>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</si>
  <si>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</si>
  <si>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</si>
  <si>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</si>
  <si>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</si>
  <si>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</si>
  <si>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</si>
  <si>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</si>
  <si>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</si>
  <si>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</si>
  <si>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</si>
  <si>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</si>
  <si>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</si>
  <si>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</si>
  <si>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</si>
  <si>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</si>
  <si>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</si>
  <si>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</si>
  <si>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</si>
  <si>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</si>
  <si>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</si>
  <si>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</si>
  <si>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</si>
  <si>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</si>
  <si>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</si>
  <si>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</si>
  <si>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</si>
  <si>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</si>
  <si>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</si>
  <si>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</si>
  <si>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</si>
  <si>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</si>
  <si>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</si>
  <si>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</si>
  <si>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</si>
  <si>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</si>
  <si>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</si>
  <si>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</si>
  <si>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</si>
  <si>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</si>
  <si>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</si>
  <si>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</si>
  <si>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</si>
  <si>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</si>
  <si>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</si>
  <si>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</si>
  <si>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</si>
  <si>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</si>
  <si>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</si>
  <si>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</si>
  <si>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</si>
  <si>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</si>
  <si>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</si>
  <si>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</si>
  <si>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</si>
  <si>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</si>
  <si>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</si>
  <si>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</si>
  <si>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</si>
  <si>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</si>
  <si>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</si>
  <si>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</si>
  <si>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</si>
  <si>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</si>
  <si>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</si>
  <si>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</si>
  <si>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</si>
  <si>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</si>
  <si>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</si>
  <si>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</si>
  <si>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</si>
  <si>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</si>
  <si>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</si>
  <si>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</si>
  <si>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</si>
  <si>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</si>
  <si>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</si>
  <si>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</si>
  <si>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</si>
  <si>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</si>
  <si>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</si>
  <si>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</si>
  <si>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</si>
  <si>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</si>
  <si>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</si>
  <si>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</si>
  <si>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</si>
  <si>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</si>
  <si>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</si>
  <si>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</si>
  <si>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</si>
  <si>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</si>
  <si>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</si>
  <si>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</si>
  <si>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</si>
  <si>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</si>
  <si>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</si>
  <si>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</si>
  <si>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</si>
  <si>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</si>
  <si>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</si>
  <si>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</si>
  <si>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</si>
  <si>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</si>
  <si>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</si>
  <si>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</si>
  <si>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</si>
  <si>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</si>
  <si>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</si>
  <si>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</si>
  <si>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</si>
  <si>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</si>
  <si>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</si>
  <si>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</si>
  <si>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Cumm L2 Schedule till June'26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</si>
  <si>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</si>
  <si>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</si>
  <si>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</si>
  <si>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</si>
  <si>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</si>
  <si>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</si>
  <si>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</si>
  <si>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</si>
  <si>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</si>
  <si>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</si>
  <si>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</si>
  <si>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</si>
  <si>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</si>
  <si>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</si>
  <si>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</si>
  <si>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</si>
  <si>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</si>
  <si>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</si>
  <si>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</si>
  <si>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</si>
  <si>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</si>
  <si>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</si>
  <si>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</si>
  <si>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</si>
  <si>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</si>
  <si>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</si>
  <si>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</si>
  <si>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</si>
  <si>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</si>
  <si>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>M/s. Amit Kumar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</si>
  <si>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</si>
  <si>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</si>
  <si>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</si>
  <si>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</si>
  <si>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</si>
  <si>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</si>
  <si>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</si>
  <si>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</si>
  <si>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</si>
  <si>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</si>
  <si>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</si>
  <si>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</si>
  <si>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</si>
  <si>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AP 18 - AP 19</t>
  </si>
  <si>
    <t>AP 35- AP 36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</si>
  <si>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</si>
  <si>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</si>
  <si>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</si>
  <si>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</si>
  <si>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ROW due to Payment Issue </t>
  </si>
  <si>
    <t xml:space="preserve">2 phase </t>
  </si>
  <si>
    <t>AP 13 - AP 13A</t>
  </si>
  <si>
    <t>AP 13A - AP 14</t>
  </si>
  <si>
    <t xml:space="preserve">Pramod </t>
  </si>
  <si>
    <t xml:space="preserve">G_1:-  M.S Enterprises      G_2:-  M.B Sharma                                                                              </t>
  </si>
  <si>
    <r>
      <rPr>
        <b/>
        <sz val="11"/>
        <color rgb="FFFF0000"/>
        <rFont val="Calibri"/>
        <family val="2"/>
        <scheme val="minor"/>
      </rPr>
      <t>G_1 Sanjay Construction 36A/0 ROW</t>
    </r>
    <r>
      <rPr>
        <b/>
        <sz val="11"/>
        <rFont val="Calibri"/>
        <family val="2"/>
        <scheme val="minor"/>
      </rPr>
      <t xml:space="preserve"> </t>
    </r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</si>
  <si>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</si>
  <si>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</si>
  <si>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</si>
  <si>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</si>
  <si>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</si>
  <si>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</si>
  <si>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</si>
  <si>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</si>
  <si>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</si>
  <si>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</si>
  <si>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24- AP 25</t>
  </si>
  <si>
    <t>AP 40- AP 40A/0</t>
  </si>
  <si>
    <t>ROW clearance required since 7.02.2026</t>
  </si>
  <si>
    <t xml:space="preserve">G_2:- SK infra (AP 35/0 to AP 36/0 ) &amp;                                                                (AP40 to 40A/0)                                                                             </t>
  </si>
  <si>
    <t xml:space="preserve">G_1:- Rahim Khan (AP 18/0 to AP 19/0) &amp; (AP13/0 to AP14/0)                                                                         </t>
  </si>
  <si>
    <t xml:space="preserve">G_3:- Gopal Associate (AP 24/0 to AP 25/0) G_4 Amir Sekh (AP23A/0 to AP24/0)                                                                           </t>
  </si>
  <si>
    <t xml:space="preserve">Loc 18/0 Backstay arrangment done Final sag WIP </t>
  </si>
  <si>
    <t>Loc no 15/2 ROW since 06/06/2026 &amp; 16/0 ROW since 20.06.26</t>
  </si>
  <si>
    <t>G_1 B.K Construction.</t>
  </si>
  <si>
    <t xml:space="preserve">B.K CONSTRUCTION </t>
  </si>
  <si>
    <t>4/5-4/1</t>
  </si>
  <si>
    <t>Spacering WIP</t>
  </si>
  <si>
    <t xml:space="preserve">Final sag WIP </t>
  </si>
  <si>
    <t>Rough sag completed Final sag U/P</t>
  </si>
  <si>
    <t>Insulator Hoisting 40/6, 40/3, 40/4 ,40/5,40/6,40/7,40/9,40/10,40/2</t>
  </si>
  <si>
    <t xml:space="preserve">ROW </t>
  </si>
  <si>
    <t>26.06.2026</t>
  </si>
  <si>
    <t>Rough sag completed Final sag WIP</t>
  </si>
  <si>
    <t xml:space="preserve">8/6 -9/5 </t>
  </si>
  <si>
    <t>Bit Cutting U/P</t>
  </si>
  <si>
    <t>AP 28- AP 29</t>
  </si>
  <si>
    <t>Bit cutting U/P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</si>
</sst>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91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6" fontId="22" fillId="3" borderId="1" xfId="0" applyNumberFormat="1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17" fontId="38" fillId="0" borderId="59" xfId="0" applyNumberFormat="1" applyFont="1" applyBorder="1" applyAlignment="1">
      <alignment horizontal="center" vertical="center" wrapText="1" readingOrder="1"/>
    </xf>
    <xf numFmtId="0" fontId="108" fillId="0" borderId="0" xfId="0" applyFont="1" applyAlignment="1">
      <alignment horizontal="center" vertical="center"/>
    </xf>
    <xf numFmtId="181" fontId="109" fillId="37" borderId="113" xfId="0" applyNumberFormat="1" applyFont="1" applyFill="1" applyBorder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07" fillId="0" borderId="113" xfId="0" applyFont="1" applyBorder="1" applyAlignment="1">
      <alignment horizontal="center" vertical="center" wrapText="1"/>
    </xf>
    <xf numFmtId="0" fontId="108" fillId="38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07" fillId="0" borderId="113" xfId="0" applyFont="1" applyBorder="1" applyAlignment="1">
      <alignment horizontal="center" vertical="center"/>
    </xf>
    <xf numFmtId="0" fontId="107" fillId="0" borderId="113" xfId="0" quotePrefix="1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107" fillId="0" borderId="0" xfId="0" applyFont="1" applyAlignment="1">
      <alignment horizontal="center" vertical="center" wrapText="1"/>
    </xf>
    <xf numFmtId="182" fontId="107" fillId="0" borderId="0" xfId="0" applyNumberFormat="1" applyFont="1" applyAlignment="1">
      <alignment horizontal="center" vertical="center"/>
    </xf>
    <xf numFmtId="0" fontId="102" fillId="0" borderId="113" xfId="0" applyFont="1" applyBorder="1" applyAlignment="1">
      <alignment horizontal="center" vertical="center" wrapText="1"/>
    </xf>
    <xf numFmtId="0" fontId="102" fillId="0" borderId="113" xfId="0" applyFont="1" applyBorder="1" applyAlignment="1">
      <alignment horizontal="center" vertical="center"/>
    </xf>
    <xf numFmtId="183" fontId="102" fillId="0" borderId="113" xfId="0" applyNumberFormat="1" applyFont="1" applyBorder="1" applyAlignment="1">
      <alignment horizontal="center" vertical="center"/>
    </xf>
    <xf numFmtId="0" fontId="107" fillId="0" borderId="119" xfId="0" applyFont="1" applyBorder="1" applyAlignment="1">
      <alignment horizontal="left" vertical="center"/>
    </xf>
    <xf numFmtId="166" fontId="11" fillId="0" borderId="113" xfId="0" applyNumberFormat="1" applyFont="1" applyBorder="1" applyAlignment="1">
      <alignment horizontal="center" vertical="center"/>
    </xf>
    <xf numFmtId="182" fontId="107" fillId="0" borderId="113" xfId="0" applyNumberFormat="1" applyFont="1" applyBorder="1" applyAlignment="1">
      <alignment horizontal="center" vertical="center" wrapText="1"/>
    </xf>
    <xf numFmtId="166" fontId="107" fillId="0" borderId="113" xfId="0" applyNumberFormat="1" applyFont="1" applyBorder="1" applyAlignment="1">
      <alignment horizontal="center" vertical="center" wrapText="1"/>
    </xf>
    <xf numFmtId="49" fontId="107" fillId="0" borderId="113" xfId="0" applyNumberFormat="1" applyFont="1" applyBorder="1" applyAlignment="1">
      <alignment horizontal="center" vertical="center" wrapText="1"/>
    </xf>
    <xf numFmtId="183" fontId="102" fillId="0" borderId="113" xfId="0" applyNumberFormat="1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/>
    </xf>
    <xf numFmtId="49" fontId="107" fillId="0" borderId="113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2" fillId="39" borderId="118" xfId="0" applyFont="1" applyFill="1" applyBorder="1" applyAlignment="1">
      <alignment vertical="center"/>
    </xf>
    <xf numFmtId="0" fontId="102" fillId="0" borderId="119" xfId="0" applyFont="1" applyBorder="1" applyAlignment="1">
      <alignment horizontal="center" vertical="center" wrapText="1"/>
    </xf>
    <xf numFmtId="0" fontId="102" fillId="0" borderId="119" xfId="0" applyFont="1" applyBorder="1" applyAlignment="1">
      <alignment horizontal="center" vertical="center"/>
    </xf>
    <xf numFmtId="183" fontId="102" fillId="0" borderId="119" xfId="0" applyNumberFormat="1" applyFont="1" applyBorder="1" applyAlignment="1">
      <alignment horizontal="center" vertical="center"/>
    </xf>
    <xf numFmtId="0" fontId="2" fillId="0" borderId="1" xfId="0" applyFont="1" applyBorder="1"/>
    <xf numFmtId="0" fontId="107" fillId="0" borderId="1" xfId="0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center" vertical="center"/>
    </xf>
    <xf numFmtId="182" fontId="107" fillId="0" borderId="1" xfId="0" applyNumberFormat="1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 wrapText="1"/>
    </xf>
    <xf numFmtId="182" fontId="107" fillId="0" borderId="1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11" fillId="0" borderId="113" xfId="0" applyFont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02" fillId="3" borderId="113" xfId="0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07" fillId="0" borderId="114" xfId="0" applyFont="1" applyBorder="1" applyAlignment="1">
      <alignment horizontal="center" vertical="center"/>
    </xf>
    <xf numFmtId="0" fontId="107" fillId="0" borderId="120" xfId="0" applyFont="1" applyBorder="1" applyAlignment="1">
      <alignment horizontal="left" vertical="center"/>
    </xf>
    <xf numFmtId="166" fontId="11" fillId="0" borderId="114" xfId="0" applyNumberFormat="1" applyFont="1" applyBorder="1" applyAlignment="1">
      <alignment horizontal="center" vertical="center"/>
    </xf>
    <xf numFmtId="182" fontId="107" fillId="0" borderId="118" xfId="0" applyNumberFormat="1" applyFont="1" applyBorder="1" applyAlignment="1">
      <alignment horizontal="center" vertical="center"/>
    </xf>
    <xf numFmtId="0" fontId="107" fillId="0" borderId="3" xfId="0" applyFont="1" applyBorder="1" applyAlignment="1">
      <alignment horizontal="center" vertical="center" wrapText="1"/>
    </xf>
    <xf numFmtId="0" fontId="107" fillId="0" borderId="9" xfId="0" applyFont="1" applyBorder="1" applyAlignment="1">
      <alignment horizontal="left" vertical="center"/>
    </xf>
    <xf numFmtId="166" fontId="11" fillId="0" borderId="9" xfId="0" applyNumberFormat="1" applyFont="1" applyBorder="1" applyAlignment="1">
      <alignment horizontal="center" vertical="center"/>
    </xf>
    <xf numFmtId="182" fontId="107" fillId="0" borderId="9" xfId="0" applyNumberFormat="1" applyFont="1" applyBorder="1" applyAlignment="1">
      <alignment horizontal="center" vertical="center"/>
    </xf>
    <xf numFmtId="0" fontId="107" fillId="0" borderId="9" xfId="0" applyFont="1" applyBorder="1" applyAlignment="1">
      <alignment horizontal="center" vertical="center" wrapText="1"/>
    </xf>
    <xf numFmtId="0" fontId="102" fillId="39" borderId="1" xfId="0" applyFont="1" applyFill="1" applyBorder="1" applyAlignment="1">
      <alignment horizontal="center" vertical="center"/>
    </xf>
    <xf numFmtId="49" fontId="102" fillId="39" borderId="1" xfId="0" applyNumberFormat="1" applyFont="1" applyFill="1" applyBorder="1" applyAlignment="1">
      <alignment horizontal="center" vertical="center"/>
    </xf>
    <xf numFmtId="182" fontId="102" fillId="39" borderId="1" xfId="0" applyNumberFormat="1" applyFont="1" applyFill="1" applyBorder="1" applyAlignment="1">
      <alignment horizontal="center" vertical="center"/>
    </xf>
    <xf numFmtId="0" fontId="102" fillId="39" borderId="1" xfId="0" applyFont="1" applyFill="1" applyBorder="1" applyAlignment="1">
      <alignment vertical="center"/>
    </xf>
    <xf numFmtId="0" fontId="107" fillId="0" borderId="1" xfId="0" quotePrefix="1" applyFont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" fillId="0" borderId="11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7" fillId="0" borderId="0" xfId="0" applyFont="1"/>
    <xf numFmtId="0" fontId="2" fillId="0" borderId="114" xfId="0" applyFont="1" applyBorder="1" applyAlignment="1">
      <alignment horizontal="center" vertical="center"/>
    </xf>
    <xf numFmtId="0" fontId="29" fillId="0" borderId="1" xfId="43" quotePrefix="1" applyFont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19" fillId="3" borderId="1" xfId="43" quotePrefix="1" applyFont="1" applyFill="1" applyBorder="1" applyAlignment="1">
      <alignment horizontal="left" vertical="center" indent="1"/>
    </xf>
    <xf numFmtId="0" fontId="107" fillId="0" borderId="113" xfId="0" applyFont="1" applyBorder="1" applyAlignment="1">
      <alignment horizontal="left" vertical="center" wrapText="1"/>
    </xf>
    <xf numFmtId="0" fontId="107" fillId="0" borderId="1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07" fillId="0" borderId="116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0" fillId="11" borderId="3" xfId="0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15" fontId="0" fillId="11" borderId="3" xfId="0" applyNumberFormat="1" applyFill="1" applyBorder="1" applyAlignment="1">
      <alignment horizontal="center" vertical="center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16" fontId="0" fillId="11" borderId="3" xfId="0" quotePrefix="1" applyNumberFormat="1" applyFill="1" applyBorder="1" applyAlignment="1">
      <alignment horizontal="center" vertical="center"/>
    </xf>
    <xf numFmtId="49" fontId="0" fillId="11" borderId="3" xfId="0" quotePrefix="1" applyNumberFormat="1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/>
    </xf>
    <xf numFmtId="17" fontId="0" fillId="11" borderId="3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left" vertical="center" wrapText="1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2" fillId="37" borderId="121" xfId="0" applyFont="1" applyFill="1" applyBorder="1" applyAlignment="1">
      <alignment horizontal="center" vertical="center"/>
    </xf>
    <xf numFmtId="0" fontId="2" fillId="0" borderId="0" xfId="0" applyFont="1"/>
    <xf numFmtId="0" fontId="2" fillId="0" borderId="122" xfId="0" applyFont="1" applyBorder="1"/>
    <xf numFmtId="0" fontId="102" fillId="37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08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9" fillId="37" borderId="110" xfId="0" applyFont="1" applyFill="1" applyBorder="1" applyAlignment="1">
      <alignment horizontal="right" vertical="center"/>
    </xf>
    <xf numFmtId="0" fontId="109" fillId="0" borderId="110" xfId="0" applyFont="1" applyBorder="1" applyAlignment="1">
      <alignment horizontal="center" vertical="center"/>
    </xf>
    <xf numFmtId="0" fontId="109" fillId="0" borderId="110" xfId="0" applyFont="1" applyBorder="1" applyAlignment="1">
      <alignment horizontal="left" vertical="center"/>
    </xf>
    <xf numFmtId="0" fontId="102" fillId="37" borderId="110" xfId="0" applyFont="1" applyFill="1" applyBorder="1" applyAlignment="1">
      <alignment horizontal="center" vertical="center"/>
    </xf>
    <xf numFmtId="0" fontId="102" fillId="37" borderId="115" xfId="0" applyFont="1" applyFill="1" applyBorder="1" applyAlignment="1">
      <alignment horizontal="center" vertical="center"/>
    </xf>
    <xf numFmtId="0" fontId="2" fillId="0" borderId="116" xfId="0" applyFont="1" applyBorder="1"/>
    <xf numFmtId="0" fontId="2" fillId="0" borderId="117" xfId="0" applyFont="1" applyBorder="1"/>
    <xf numFmtId="0" fontId="102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1"/>
      <tableStyleElement type="headerRow" dxfId="230"/>
      <tableStyleElement type="firstRowStripe" dxfId="229"/>
      <tableStyleElement type="secondRowStripe" dxfId="228"/>
    </tableStyle>
    <tableStyle name="Rahul Gang-style" pivot="0" count="4" xr9:uid="{3D22637C-CDC4-45FB-9A29-30C7D42679DD}">
      <tableStyleElement type="wholeTable" size="0" dxfId="227"/>
      <tableStyleElement type="headerRow" dxfId="226"/>
      <tableStyleElement type="firstRowStripe" dxfId="225"/>
      <tableStyleElement type="secondRowStripe" dxfId="224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39688</xdr:rowOff>
    </xdr:from>
    <xdr:to>
      <xdr:col>28</xdr:col>
      <xdr:colOff>257969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77588" y="7368646"/>
          <a:ext cx="8240016" cy="5143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181430</xdr:colOff>
      <xdr:row>93</xdr:row>
      <xdr:rowOff>90713</xdr:rowOff>
    </xdr:from>
    <xdr:to>
      <xdr:col>14</xdr:col>
      <xdr:colOff>181428</xdr:colOff>
      <xdr:row>94</xdr:row>
      <xdr:rowOff>168468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27501" y="18350203"/>
          <a:ext cx="660917" cy="2656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259183</xdr:colOff>
      <xdr:row>45</xdr:row>
      <xdr:rowOff>71276</xdr:rowOff>
    </xdr:from>
    <xdr:to>
      <xdr:col>38</xdr:col>
      <xdr:colOff>181428</xdr:colOff>
      <xdr:row>46</xdr:row>
      <xdr:rowOff>155511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17703" y="8844643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194389</xdr:colOff>
      <xdr:row>45</xdr:row>
      <xdr:rowOff>38878</xdr:rowOff>
    </xdr:from>
    <xdr:to>
      <xdr:col>34</xdr:col>
      <xdr:colOff>168469</xdr:colOff>
      <xdr:row>46</xdr:row>
      <xdr:rowOff>110152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18113" y="8812245"/>
          <a:ext cx="634999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226787</xdr:colOff>
      <xdr:row>45</xdr:row>
      <xdr:rowOff>51837</xdr:rowOff>
    </xdr:from>
    <xdr:to>
      <xdr:col>36</xdr:col>
      <xdr:colOff>194390</xdr:colOff>
      <xdr:row>46</xdr:row>
      <xdr:rowOff>142551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611430" y="8825204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210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activeCell="F10" sqref="F10"/>
    </sheetView>
  </sheetViews>
  <sheetFormatPr defaultColWidth="9.1796875" defaultRowHeight="12.5"/>
  <cols>
    <col min="1" max="1" width="7.7265625" style="150" customWidth="1"/>
    <col min="2" max="2" width="28.7265625" style="148" customWidth="1"/>
    <col min="3" max="3" width="9.7265625" style="150" customWidth="1"/>
    <col min="4" max="4" width="10.54296875" style="150" customWidth="1"/>
    <col min="5" max="5" width="12.54296875" style="150" customWidth="1"/>
    <col min="6" max="6" width="13" style="151" customWidth="1"/>
    <col min="7" max="7" width="9.7265625" style="151" customWidth="1"/>
    <col min="8" max="8" width="10.453125" style="148" customWidth="1"/>
    <col min="9" max="9" width="10.26953125" style="150" customWidth="1"/>
    <col min="10" max="10" width="12.54296875" style="151" customWidth="1"/>
    <col min="11" max="11" width="11.1796875" style="150" customWidth="1"/>
    <col min="12" max="12" width="9.26953125" style="150" customWidth="1"/>
    <col min="13" max="13" width="37.81640625" style="148" customWidth="1"/>
    <col min="14" max="14" width="29" style="148" customWidth="1"/>
    <col min="15" max="16384" width="9.1796875" style="148"/>
  </cols>
  <sheetData>
    <row r="1" spans="1:256" ht="25" customHeight="1">
      <c r="A1" s="1443" t="s">
        <v>1014</v>
      </c>
      <c r="B1" s="1443"/>
      <c r="C1" s="1443"/>
      <c r="D1" s="1443"/>
      <c r="E1" s="1443"/>
      <c r="F1" s="1443"/>
      <c r="G1" s="1443"/>
      <c r="H1" s="1443"/>
      <c r="I1" s="1443"/>
      <c r="J1" s="1443"/>
      <c r="K1" s="1443"/>
      <c r="L1" s="1443"/>
      <c r="M1" s="86" t="s">
        <v>1865</v>
      </c>
    </row>
    <row r="2" spans="1:256" s="1" customFormat="1" ht="20.149999999999999" customHeight="1">
      <c r="A2" s="1237" t="s">
        <v>1748</v>
      </c>
      <c r="B2" s="1239"/>
      <c r="C2" s="1239"/>
      <c r="D2" s="1239"/>
      <c r="E2" s="1239"/>
      <c r="F2" s="1239"/>
      <c r="G2" s="1239"/>
      <c r="H2" s="1239"/>
      <c r="I2" s="1239"/>
      <c r="J2" s="1239"/>
      <c r="K2" s="1444" t="s">
        <v>1749</v>
      </c>
      <c r="L2" s="1444"/>
      <c r="M2" s="1444"/>
    </row>
    <row r="3" spans="1:256" s="1" customFormat="1" ht="20.149999999999999" customHeight="1">
      <c r="A3" s="1240" t="s">
        <v>1829</v>
      </c>
      <c r="B3" s="1240"/>
      <c r="C3" s="1240"/>
      <c r="D3" s="1240"/>
      <c r="E3" s="1240"/>
      <c r="F3" s="1240"/>
      <c r="G3" s="1240"/>
      <c r="H3" s="1240"/>
      <c r="I3" s="1240"/>
      <c r="J3" s="1240"/>
      <c r="K3" s="1240"/>
      <c r="L3" s="1271"/>
      <c r="M3" s="1272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1442"/>
      <c r="Z3" s="1442"/>
      <c r="AA3" s="1442"/>
      <c r="AB3" s="1442"/>
      <c r="AC3" s="1442"/>
      <c r="AD3" s="1442"/>
      <c r="AE3" s="1442"/>
      <c r="AF3" s="1442"/>
      <c r="AG3" s="1442"/>
      <c r="AH3" s="1442"/>
      <c r="AI3" s="1442"/>
      <c r="AJ3" s="1442"/>
      <c r="AK3" s="1442"/>
      <c r="AL3" s="1442"/>
      <c r="AM3" s="1442"/>
      <c r="AN3" s="1442"/>
      <c r="AO3" s="1442"/>
      <c r="AP3" s="1442"/>
      <c r="AQ3" s="1442"/>
      <c r="AR3" s="1442"/>
      <c r="AS3" s="1442"/>
      <c r="AT3" s="1442"/>
      <c r="AU3" s="1442"/>
      <c r="AV3" s="1442"/>
      <c r="AW3" s="1442"/>
      <c r="AX3" s="1442"/>
      <c r="AY3" s="1442"/>
      <c r="AZ3" s="1442"/>
      <c r="BA3" s="1442"/>
      <c r="BB3" s="1442"/>
      <c r="BC3" s="1442"/>
      <c r="BD3" s="1442"/>
      <c r="BE3" s="1442"/>
      <c r="BF3" s="1442"/>
      <c r="BG3" s="1442"/>
      <c r="BH3" s="1442"/>
      <c r="BI3" s="1442"/>
      <c r="BJ3" s="1442"/>
      <c r="BK3" s="1442"/>
      <c r="BL3" s="1442"/>
      <c r="BM3" s="1442"/>
      <c r="BN3" s="1442"/>
      <c r="BO3" s="1442"/>
      <c r="BP3" s="1442"/>
      <c r="BQ3" s="1442"/>
      <c r="BR3" s="1442"/>
      <c r="BS3" s="1442"/>
      <c r="BT3" s="1442"/>
      <c r="BU3" s="1442"/>
      <c r="BV3" s="1442"/>
      <c r="BW3" s="1442"/>
      <c r="BX3" s="1442"/>
      <c r="BY3" s="1442"/>
      <c r="BZ3" s="1442"/>
      <c r="CA3" s="1442"/>
      <c r="CB3" s="1442"/>
      <c r="CC3" s="1442"/>
      <c r="CD3" s="1442"/>
      <c r="CE3" s="1442"/>
      <c r="CF3" s="1442"/>
      <c r="CG3" s="1442"/>
      <c r="CH3" s="1442"/>
      <c r="CI3" s="1442"/>
      <c r="CJ3" s="1442"/>
      <c r="CK3" s="1442"/>
      <c r="CL3" s="1442"/>
      <c r="CM3" s="1442"/>
      <c r="CN3" s="1442"/>
      <c r="CO3" s="1442"/>
      <c r="CP3" s="1442"/>
      <c r="CQ3" s="1442"/>
      <c r="CR3" s="1442"/>
      <c r="CS3" s="1442"/>
      <c r="CT3" s="1442"/>
      <c r="CU3" s="1442"/>
      <c r="CV3" s="1442"/>
      <c r="CW3" s="1442"/>
      <c r="CX3" s="1442"/>
      <c r="CY3" s="1442"/>
      <c r="CZ3" s="1442"/>
      <c r="DA3" s="1442"/>
      <c r="DB3" s="1442"/>
      <c r="DC3" s="1442"/>
      <c r="DD3" s="1442"/>
      <c r="DE3" s="1442"/>
      <c r="DF3" s="1442"/>
      <c r="DG3" s="1442"/>
      <c r="DH3" s="1442"/>
      <c r="DI3" s="1442"/>
      <c r="DJ3" s="1442"/>
      <c r="DK3" s="1442"/>
      <c r="DL3" s="1442"/>
      <c r="DM3" s="1442"/>
      <c r="DN3" s="1442"/>
      <c r="DO3" s="1442"/>
      <c r="DP3" s="1442"/>
      <c r="DQ3" s="1442"/>
      <c r="DR3" s="1442"/>
      <c r="DS3" s="1442"/>
      <c r="DT3" s="1442"/>
      <c r="DU3" s="1442"/>
      <c r="DV3" s="1442"/>
      <c r="DW3" s="1442"/>
      <c r="DX3" s="1442"/>
      <c r="DY3" s="1442"/>
      <c r="DZ3" s="1442"/>
      <c r="EA3" s="1442"/>
      <c r="EB3" s="1442"/>
      <c r="EC3" s="1442"/>
      <c r="ED3" s="1442"/>
      <c r="EE3" s="1442"/>
      <c r="EF3" s="1442"/>
      <c r="EG3" s="1442"/>
      <c r="EH3" s="1442"/>
      <c r="EI3" s="1442"/>
      <c r="EJ3" s="1442"/>
      <c r="EK3" s="1442"/>
      <c r="EL3" s="1442"/>
      <c r="EM3" s="1442"/>
      <c r="EN3" s="1442"/>
      <c r="EO3" s="1442"/>
      <c r="EP3" s="1442"/>
      <c r="EQ3" s="1442"/>
      <c r="ER3" s="1442"/>
      <c r="ES3" s="1442"/>
      <c r="ET3" s="1442"/>
      <c r="EU3" s="1442"/>
      <c r="EV3" s="1442"/>
      <c r="EW3" s="1442"/>
      <c r="EX3" s="1442"/>
      <c r="EY3" s="1442"/>
      <c r="EZ3" s="1442"/>
      <c r="FA3" s="1442"/>
      <c r="FB3" s="1442"/>
      <c r="FC3" s="1442"/>
      <c r="FD3" s="1442"/>
      <c r="FE3" s="1442"/>
      <c r="FF3" s="1442"/>
      <c r="FG3" s="1442"/>
      <c r="FH3" s="1442"/>
      <c r="FI3" s="1442"/>
      <c r="FJ3" s="1442"/>
      <c r="FK3" s="1442"/>
      <c r="FL3" s="1442"/>
      <c r="FM3" s="1442"/>
      <c r="FN3" s="1442"/>
      <c r="FO3" s="1442"/>
      <c r="FP3" s="1442"/>
      <c r="FQ3" s="1442"/>
      <c r="FR3" s="1442"/>
      <c r="FS3" s="1442"/>
      <c r="FT3" s="1442"/>
      <c r="FU3" s="1442"/>
      <c r="FV3" s="1442"/>
      <c r="FW3" s="1442"/>
      <c r="FX3" s="1442"/>
      <c r="FY3" s="1442"/>
      <c r="FZ3" s="1442"/>
      <c r="GA3" s="1442"/>
      <c r="GB3" s="1442"/>
      <c r="GC3" s="1442"/>
      <c r="GD3" s="1442"/>
      <c r="GE3" s="1442"/>
      <c r="GF3" s="1442"/>
      <c r="GG3" s="1442"/>
      <c r="GH3" s="1442"/>
      <c r="GI3" s="1442"/>
      <c r="GJ3" s="1442"/>
      <c r="GK3" s="1442"/>
      <c r="GL3" s="1442"/>
      <c r="GM3" s="1442"/>
      <c r="GN3" s="1442"/>
      <c r="GO3" s="1442"/>
      <c r="GP3" s="1442"/>
      <c r="GQ3" s="1442"/>
      <c r="GR3" s="1442"/>
      <c r="GS3" s="1442"/>
      <c r="GT3" s="1442"/>
      <c r="GU3" s="1442"/>
      <c r="GV3" s="1442"/>
      <c r="GW3" s="1442"/>
      <c r="GX3" s="1442"/>
      <c r="GY3" s="1442"/>
      <c r="GZ3" s="1442"/>
      <c r="HA3" s="1442"/>
      <c r="HB3" s="1442"/>
      <c r="HC3" s="1442"/>
      <c r="HD3" s="1442"/>
      <c r="HE3" s="1442"/>
      <c r="HF3" s="1442"/>
      <c r="HG3" s="1442"/>
      <c r="HH3" s="1442"/>
      <c r="HI3" s="1442"/>
      <c r="HJ3" s="1442"/>
      <c r="HK3" s="1442"/>
      <c r="HL3" s="1442"/>
      <c r="HM3" s="1442"/>
      <c r="HN3" s="1442"/>
      <c r="HO3" s="1442"/>
      <c r="HP3" s="1442"/>
      <c r="HQ3" s="1442"/>
      <c r="HR3" s="1442"/>
      <c r="HS3" s="1442"/>
      <c r="HT3" s="1442"/>
      <c r="HU3" s="1442"/>
      <c r="HV3" s="1442"/>
      <c r="HW3" s="1442"/>
      <c r="HX3" s="1442"/>
      <c r="HY3" s="1442"/>
      <c r="HZ3" s="1442"/>
      <c r="IA3" s="1442"/>
      <c r="IB3" s="1442"/>
      <c r="IC3" s="1442"/>
      <c r="ID3" s="1442"/>
      <c r="IE3" s="1442"/>
      <c r="IF3" s="1442"/>
      <c r="IG3" s="1442"/>
      <c r="IH3" s="1442"/>
      <c r="II3" s="1442"/>
      <c r="IJ3" s="1442"/>
      <c r="IK3" s="1442"/>
      <c r="IL3" s="1442"/>
      <c r="IM3" s="1442"/>
      <c r="IN3" s="1442"/>
      <c r="IO3" s="1442"/>
      <c r="IP3" s="1442"/>
      <c r="IQ3" s="1442"/>
      <c r="IR3" s="1442"/>
      <c r="IS3" s="1442"/>
      <c r="IT3" s="1442"/>
      <c r="IU3" s="1442"/>
      <c r="IV3" s="1442"/>
    </row>
    <row r="4" spans="1:256" s="1" customFormat="1" ht="20.149999999999999" customHeight="1">
      <c r="A4" s="1241" t="s">
        <v>1828</v>
      </c>
      <c r="B4" s="1241"/>
      <c r="C4" s="1241"/>
      <c r="D4" s="1241"/>
      <c r="E4" s="1241"/>
      <c r="F4" s="1241"/>
      <c r="G4" s="1241"/>
      <c r="H4" s="1241"/>
      <c r="I4" s="1241"/>
      <c r="J4" s="1241"/>
      <c r="K4" s="1241"/>
      <c r="L4" s="1241"/>
      <c r="M4" s="1242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1442"/>
      <c r="Z4" s="1442"/>
      <c r="AA4" s="1442"/>
      <c r="AB4" s="1442"/>
      <c r="AC4" s="1442"/>
      <c r="AD4" s="1442"/>
      <c r="AE4" s="1442"/>
      <c r="AF4" s="1442"/>
      <c r="AG4" s="1442"/>
      <c r="AH4" s="1442"/>
      <c r="AI4" s="1442"/>
      <c r="AJ4" s="1442"/>
      <c r="AK4" s="1442"/>
      <c r="AL4" s="1442"/>
      <c r="AM4" s="1442"/>
      <c r="AN4" s="1442"/>
      <c r="AO4" s="1442"/>
      <c r="AP4" s="1442"/>
      <c r="AQ4" s="1442"/>
      <c r="AR4" s="1442"/>
      <c r="AS4" s="1442"/>
      <c r="AT4" s="1442"/>
      <c r="AU4" s="1442"/>
      <c r="AV4" s="1442"/>
      <c r="AW4" s="1442"/>
      <c r="AX4" s="1442"/>
      <c r="AY4" s="1442"/>
      <c r="AZ4" s="1442"/>
      <c r="BA4" s="1442"/>
      <c r="BB4" s="1442"/>
      <c r="BC4" s="1442"/>
      <c r="BD4" s="1442"/>
      <c r="BE4" s="1442"/>
      <c r="BF4" s="1442"/>
      <c r="BG4" s="1442"/>
      <c r="BH4" s="1442"/>
      <c r="BI4" s="1442"/>
      <c r="BJ4" s="1442"/>
      <c r="BK4" s="1442"/>
      <c r="BL4" s="1442"/>
      <c r="BM4" s="1442"/>
      <c r="BN4" s="1442"/>
      <c r="BO4" s="1442"/>
      <c r="BP4" s="1442"/>
      <c r="BQ4" s="1442"/>
      <c r="BR4" s="1442"/>
      <c r="BS4" s="1442"/>
      <c r="BT4" s="1442"/>
      <c r="BU4" s="1442"/>
      <c r="BV4" s="1442"/>
      <c r="BW4" s="1442"/>
      <c r="BX4" s="1442"/>
      <c r="BY4" s="1442"/>
      <c r="BZ4" s="1442"/>
      <c r="CA4" s="1442"/>
      <c r="CB4" s="1442"/>
      <c r="CC4" s="1442"/>
      <c r="CD4" s="1442"/>
      <c r="CE4" s="1442"/>
      <c r="CF4" s="1442"/>
      <c r="CG4" s="1442"/>
      <c r="CH4" s="1442"/>
      <c r="CI4" s="1442"/>
      <c r="CJ4" s="1442"/>
      <c r="CK4" s="1442"/>
      <c r="CL4" s="1442"/>
      <c r="CM4" s="1442"/>
      <c r="CN4" s="1442"/>
      <c r="CO4" s="1442"/>
      <c r="CP4" s="1442"/>
      <c r="CQ4" s="1442"/>
      <c r="CR4" s="1442"/>
      <c r="CS4" s="1442"/>
      <c r="CT4" s="1442"/>
      <c r="CU4" s="1442"/>
      <c r="CV4" s="1442"/>
      <c r="CW4" s="1442"/>
      <c r="CX4" s="1442"/>
      <c r="CY4" s="1442"/>
      <c r="CZ4" s="1442"/>
      <c r="DA4" s="1442"/>
      <c r="DB4" s="1442"/>
      <c r="DC4" s="1442"/>
      <c r="DD4" s="1442"/>
      <c r="DE4" s="1442"/>
      <c r="DF4" s="1442"/>
      <c r="DG4" s="1442"/>
      <c r="DH4" s="1442"/>
      <c r="DI4" s="1442"/>
      <c r="DJ4" s="1442"/>
      <c r="DK4" s="1442"/>
      <c r="DL4" s="1442"/>
      <c r="DM4" s="1442"/>
      <c r="DN4" s="1442"/>
      <c r="DO4" s="1442"/>
      <c r="DP4" s="1442"/>
      <c r="DQ4" s="1442"/>
      <c r="DR4" s="1442"/>
      <c r="DS4" s="1442"/>
      <c r="DT4" s="1442"/>
      <c r="DU4" s="1442"/>
      <c r="DV4" s="1442"/>
      <c r="DW4" s="1442"/>
      <c r="DX4" s="1442"/>
      <c r="DY4" s="1442"/>
      <c r="DZ4" s="1442"/>
      <c r="EA4" s="1442"/>
      <c r="EB4" s="1442"/>
      <c r="EC4" s="1442"/>
      <c r="ED4" s="1442"/>
      <c r="EE4" s="1442"/>
      <c r="EF4" s="1442"/>
      <c r="EG4" s="1442"/>
      <c r="EH4" s="1442"/>
      <c r="EI4" s="1442"/>
      <c r="EJ4" s="1442"/>
      <c r="EK4" s="1442"/>
      <c r="EL4" s="1442"/>
      <c r="EM4" s="1442"/>
      <c r="EN4" s="1442"/>
      <c r="EO4" s="1442"/>
      <c r="EP4" s="1442"/>
      <c r="EQ4" s="1442"/>
      <c r="ER4" s="1442"/>
      <c r="ES4" s="1442"/>
      <c r="ET4" s="1442"/>
      <c r="EU4" s="1442"/>
      <c r="EV4" s="1442"/>
      <c r="EW4" s="1442"/>
      <c r="EX4" s="1442"/>
      <c r="EY4" s="1442"/>
      <c r="EZ4" s="1442"/>
      <c r="FA4" s="1442"/>
      <c r="FB4" s="1442"/>
      <c r="FC4" s="1442"/>
      <c r="FD4" s="1442"/>
      <c r="FE4" s="1442"/>
      <c r="FF4" s="1442"/>
      <c r="FG4" s="1442"/>
      <c r="FH4" s="1442"/>
      <c r="FI4" s="1442"/>
      <c r="FJ4" s="1442"/>
      <c r="FK4" s="1442"/>
      <c r="FL4" s="1442"/>
      <c r="FM4" s="1442"/>
      <c r="FN4" s="1442"/>
      <c r="FO4" s="1442"/>
      <c r="FP4" s="1442"/>
      <c r="FQ4" s="1442"/>
      <c r="FR4" s="1442"/>
      <c r="FS4" s="1442"/>
      <c r="FT4" s="1442"/>
      <c r="FU4" s="1442"/>
      <c r="FV4" s="1442"/>
      <c r="FW4" s="1442"/>
      <c r="FX4" s="1442"/>
      <c r="FY4" s="1442"/>
      <c r="FZ4" s="1442"/>
      <c r="GA4" s="1442"/>
      <c r="GB4" s="1442"/>
      <c r="GC4" s="1442"/>
      <c r="GD4" s="1442"/>
      <c r="GE4" s="1442"/>
      <c r="GF4" s="1442"/>
      <c r="GG4" s="1442"/>
      <c r="GH4" s="1442"/>
      <c r="GI4" s="1442"/>
      <c r="GJ4" s="1442"/>
      <c r="GK4" s="1442"/>
      <c r="GL4" s="1442"/>
      <c r="GM4" s="1442"/>
      <c r="GN4" s="1442"/>
      <c r="GO4" s="1442"/>
      <c r="GP4" s="1442"/>
      <c r="GQ4" s="1442"/>
      <c r="GR4" s="1442"/>
      <c r="GS4" s="1442"/>
      <c r="GT4" s="1442"/>
      <c r="GU4" s="1442"/>
      <c r="GV4" s="1442"/>
      <c r="GW4" s="1442"/>
      <c r="GX4" s="1442"/>
      <c r="GY4" s="1442"/>
      <c r="GZ4" s="1442"/>
      <c r="HA4" s="1442"/>
      <c r="HB4" s="1442"/>
      <c r="HC4" s="1442"/>
      <c r="HD4" s="1442"/>
      <c r="HE4" s="1442"/>
      <c r="HF4" s="1442"/>
      <c r="HG4" s="1442"/>
      <c r="HH4" s="1442"/>
      <c r="HI4" s="1442"/>
      <c r="HJ4" s="1442"/>
      <c r="HK4" s="1442"/>
      <c r="HL4" s="1442"/>
      <c r="HM4" s="1442"/>
      <c r="HN4" s="1442"/>
      <c r="HO4" s="1442"/>
      <c r="HP4" s="1442"/>
      <c r="HQ4" s="1442"/>
      <c r="HR4" s="1442"/>
      <c r="HS4" s="1442"/>
      <c r="HT4" s="1442"/>
      <c r="HU4" s="1442"/>
      <c r="HV4" s="1442"/>
      <c r="HW4" s="1442"/>
      <c r="HX4" s="1442"/>
      <c r="HY4" s="1442"/>
      <c r="HZ4" s="1442"/>
      <c r="IA4" s="1442"/>
      <c r="IB4" s="1442"/>
      <c r="IC4" s="1442"/>
      <c r="ID4" s="1442"/>
      <c r="IE4" s="1442"/>
      <c r="IF4" s="1442"/>
      <c r="IG4" s="1442"/>
      <c r="IH4" s="1442"/>
      <c r="II4" s="1442"/>
      <c r="IJ4" s="1442"/>
      <c r="IK4" s="1442"/>
      <c r="IL4" s="1442"/>
      <c r="IM4" s="1442"/>
      <c r="IN4" s="1442"/>
      <c r="IO4" s="1442"/>
      <c r="IP4" s="1442"/>
      <c r="IQ4" s="1442"/>
      <c r="IR4" s="1442"/>
      <c r="IS4" s="1442"/>
      <c r="IT4" s="1442"/>
      <c r="IU4" s="1442"/>
      <c r="IV4" s="1442"/>
    </row>
    <row r="5" spans="1:256" s="1" customFormat="1" ht="20.149999999999999" customHeight="1">
      <c r="A5" s="1243" t="s">
        <v>663</v>
      </c>
      <c r="B5" s="1360"/>
      <c r="C5" s="1244"/>
      <c r="D5" s="1244"/>
      <c r="E5" s="1244"/>
      <c r="F5" s="1244"/>
      <c r="G5" s="1244"/>
      <c r="H5" s="1244"/>
      <c r="I5" s="1244"/>
      <c r="J5" s="1244"/>
      <c r="K5" s="1244"/>
      <c r="L5" s="1244"/>
      <c r="M5" s="1245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Y5" s="555"/>
      <c r="Z5" s="555"/>
      <c r="AA5" s="555"/>
      <c r="AB5" s="555"/>
      <c r="AC5" s="555"/>
      <c r="AD5" s="555"/>
      <c r="AE5" s="555"/>
      <c r="AF5" s="555"/>
      <c r="AG5" s="555"/>
      <c r="AH5" s="555"/>
      <c r="AI5" s="555"/>
      <c r="AJ5" s="555"/>
      <c r="AK5" s="1445"/>
      <c r="AL5" s="1445"/>
      <c r="AM5" s="1445"/>
      <c r="AN5" s="1445"/>
      <c r="AO5" s="1445"/>
      <c r="AP5" s="1445"/>
      <c r="AQ5" s="1445"/>
      <c r="AR5" s="1445"/>
      <c r="AS5" s="1445"/>
      <c r="AT5" s="1445"/>
      <c r="AU5" s="1445"/>
      <c r="AV5" s="1445"/>
      <c r="AW5" s="1445"/>
      <c r="AX5" s="1445"/>
      <c r="AY5" s="1445"/>
      <c r="AZ5" s="1445"/>
      <c r="BA5" s="1445"/>
      <c r="BB5" s="1445"/>
      <c r="BC5" s="1445"/>
      <c r="BD5" s="1445"/>
      <c r="BE5" s="1445"/>
      <c r="BF5" s="1445"/>
      <c r="BG5" s="1445"/>
      <c r="BH5" s="1445"/>
      <c r="BI5" s="1445"/>
      <c r="BJ5" s="1445"/>
      <c r="BK5" s="1445"/>
      <c r="BL5" s="1445"/>
      <c r="BM5" s="1445"/>
      <c r="BN5" s="1445"/>
      <c r="BO5" s="1445"/>
      <c r="BP5" s="1445"/>
      <c r="BQ5" s="1445"/>
      <c r="BR5" s="1445"/>
      <c r="BS5" s="1445"/>
      <c r="BT5" s="1445"/>
      <c r="BU5" s="1445"/>
      <c r="BV5" s="1445"/>
      <c r="BW5" s="1445"/>
      <c r="BX5" s="1445"/>
      <c r="BY5" s="1445"/>
      <c r="BZ5" s="1445"/>
      <c r="CA5" s="1445"/>
      <c r="CB5" s="1445"/>
      <c r="CC5" s="1445"/>
      <c r="CD5" s="1445"/>
      <c r="CE5" s="1445"/>
      <c r="CF5" s="1445"/>
      <c r="CG5" s="1445"/>
      <c r="CH5" s="1445"/>
      <c r="CI5" s="1445"/>
      <c r="CJ5" s="1445"/>
      <c r="CK5" s="1445"/>
      <c r="CL5" s="1445"/>
      <c r="CM5" s="1445"/>
      <c r="CN5" s="1445"/>
      <c r="CO5" s="1445"/>
      <c r="CP5" s="1445"/>
      <c r="CQ5" s="1445"/>
      <c r="CR5" s="1445"/>
      <c r="CS5" s="1445"/>
      <c r="CT5" s="1445"/>
      <c r="CU5" s="1445"/>
      <c r="CV5" s="1445"/>
      <c r="CW5" s="1445"/>
      <c r="CX5" s="1445"/>
      <c r="CY5" s="1445"/>
      <c r="CZ5" s="1445"/>
      <c r="DA5" s="1445"/>
      <c r="DB5" s="1445"/>
      <c r="DC5" s="1445"/>
      <c r="DD5" s="1445"/>
      <c r="DE5" s="1445"/>
      <c r="DF5" s="1445"/>
      <c r="DG5" s="1445"/>
      <c r="DH5" s="1445"/>
      <c r="DI5" s="1445"/>
      <c r="DJ5" s="1445"/>
      <c r="DK5" s="1445"/>
      <c r="DL5" s="1445"/>
      <c r="DM5" s="1445"/>
      <c r="DN5" s="1445"/>
      <c r="DO5" s="1445"/>
      <c r="DP5" s="1445"/>
      <c r="DQ5" s="647"/>
      <c r="DR5" s="555"/>
      <c r="DS5" s="555"/>
      <c r="DT5" s="555"/>
      <c r="DU5" s="555"/>
      <c r="DV5" s="555"/>
      <c r="DW5" s="555"/>
      <c r="DX5" s="555"/>
      <c r="DY5" s="555"/>
      <c r="DZ5" s="555"/>
      <c r="EA5" s="555"/>
      <c r="EB5" s="648"/>
      <c r="EC5" s="1445"/>
      <c r="ED5" s="1445"/>
      <c r="EE5" s="1445"/>
      <c r="EF5" s="1445"/>
      <c r="EG5" s="1445"/>
      <c r="EH5" s="1445"/>
      <c r="EI5" s="1445"/>
      <c r="EJ5" s="1445"/>
      <c r="EK5" s="1445"/>
      <c r="EL5" s="1445"/>
      <c r="EM5" s="1445"/>
      <c r="EN5" s="1445"/>
      <c r="EO5" s="1445"/>
      <c r="EP5" s="1445"/>
      <c r="EQ5" s="1445"/>
      <c r="ER5" s="1445"/>
      <c r="ES5" s="1445"/>
      <c r="ET5" s="1445"/>
      <c r="EU5" s="1445"/>
      <c r="EV5" s="1445"/>
      <c r="EW5" s="1445"/>
      <c r="EX5" s="1445"/>
      <c r="EY5" s="1445"/>
      <c r="EZ5" s="1445"/>
      <c r="FA5" s="1445"/>
      <c r="FB5" s="1445"/>
      <c r="FC5" s="1445"/>
      <c r="FD5" s="1445"/>
      <c r="FE5" s="1445"/>
      <c r="FF5" s="1445"/>
      <c r="FG5" s="1445"/>
      <c r="FH5" s="1445"/>
      <c r="FI5" s="1445"/>
      <c r="FJ5" s="1445"/>
      <c r="FK5" s="1445"/>
      <c r="FL5" s="1445"/>
      <c r="FM5" s="1445"/>
      <c r="FN5" s="1445"/>
      <c r="FO5" s="1445"/>
      <c r="FP5" s="1445"/>
      <c r="FQ5" s="1445"/>
      <c r="FR5" s="1445"/>
      <c r="FS5" s="1445"/>
      <c r="FT5" s="1445"/>
      <c r="FU5" s="1445"/>
      <c r="FV5" s="1445"/>
      <c r="FW5" s="1445"/>
      <c r="FX5" s="1445"/>
      <c r="FY5" s="1445"/>
      <c r="FZ5" s="1445"/>
      <c r="GA5" s="1445"/>
      <c r="GB5" s="1445"/>
      <c r="GC5" s="1445"/>
      <c r="GD5" s="1445"/>
      <c r="GE5" s="1445"/>
      <c r="GF5" s="1445"/>
      <c r="GG5" s="1445"/>
      <c r="GH5" s="1445"/>
      <c r="GI5" s="1445"/>
      <c r="GJ5" s="1445"/>
      <c r="GK5" s="1445"/>
      <c r="GL5" s="1445"/>
      <c r="GM5" s="1445"/>
      <c r="GN5" s="1445"/>
      <c r="GO5" s="1445"/>
      <c r="GP5" s="1445"/>
      <c r="GQ5" s="1445"/>
      <c r="GR5" s="1445"/>
      <c r="GS5" s="1445"/>
      <c r="GT5" s="1445"/>
      <c r="GU5" s="1445"/>
      <c r="GV5" s="1445"/>
      <c r="GW5" s="1445"/>
      <c r="GX5" s="1445"/>
      <c r="GY5" s="1445"/>
      <c r="GZ5" s="1445"/>
      <c r="HA5" s="1445"/>
      <c r="HB5" s="1445"/>
      <c r="HC5" s="1445"/>
      <c r="HD5" s="1445"/>
      <c r="HE5" s="1445"/>
      <c r="HF5" s="1445"/>
      <c r="HG5" s="1445"/>
      <c r="HH5" s="1445"/>
      <c r="HI5" s="1445"/>
      <c r="HJ5" s="1445"/>
      <c r="HK5" s="1445"/>
      <c r="HL5" s="1445"/>
      <c r="HM5" s="1445"/>
      <c r="HN5" s="1445"/>
      <c r="HO5" s="1445"/>
      <c r="HP5" s="1445"/>
      <c r="HQ5" s="1445"/>
      <c r="HR5" s="1445"/>
      <c r="HS5" s="1445"/>
      <c r="HT5" s="1445"/>
      <c r="HU5" s="1445"/>
      <c r="HV5" s="1445"/>
      <c r="HW5" s="1445"/>
      <c r="HX5" s="1445"/>
      <c r="HY5" s="1445"/>
      <c r="HZ5" s="1445"/>
      <c r="IA5" s="1445"/>
      <c r="IB5" s="1445"/>
      <c r="IC5" s="1445"/>
      <c r="ID5" s="1445"/>
      <c r="IE5" s="1445"/>
      <c r="IF5" s="1445"/>
      <c r="IG5" s="1445"/>
      <c r="IH5" s="1445"/>
      <c r="II5" s="1445"/>
      <c r="IJ5" s="1445"/>
      <c r="IK5" s="1445"/>
      <c r="IL5" s="1445"/>
      <c r="IM5" s="1445"/>
      <c r="IN5" s="1445"/>
      <c r="IO5" s="1445"/>
      <c r="IP5" s="1445"/>
      <c r="IQ5" s="1445"/>
      <c r="IR5" s="1445"/>
      <c r="IS5" s="1445"/>
      <c r="IT5" s="1445"/>
      <c r="IU5" s="1445"/>
      <c r="IV5" s="1445"/>
    </row>
    <row r="6" spans="1:256" s="1" customFormat="1" ht="57.5">
      <c r="A6" s="96" t="s">
        <v>667</v>
      </c>
      <c r="B6" s="97" t="s">
        <v>14</v>
      </c>
      <c r="C6" s="97" t="s">
        <v>121</v>
      </c>
      <c r="D6" s="97" t="s">
        <v>247</v>
      </c>
      <c r="E6" s="97" t="s">
        <v>31</v>
      </c>
      <c r="F6" s="97" t="s">
        <v>1782</v>
      </c>
      <c r="G6" s="97" t="s">
        <v>1364</v>
      </c>
      <c r="H6" s="1037" t="s">
        <v>757</v>
      </c>
      <c r="I6" s="97" t="s">
        <v>15</v>
      </c>
      <c r="J6" s="97" t="s">
        <v>239</v>
      </c>
      <c r="K6" s="97" t="s">
        <v>0</v>
      </c>
      <c r="L6" s="97" t="s">
        <v>16</v>
      </c>
      <c r="M6" s="98" t="s">
        <v>1</v>
      </c>
      <c r="N6" s="555"/>
      <c r="O6" s="555"/>
      <c r="P6" s="555"/>
      <c r="Q6" s="555"/>
      <c r="R6" s="555"/>
      <c r="S6" s="555"/>
      <c r="T6" s="555"/>
      <c r="U6" s="555"/>
      <c r="V6" s="555"/>
      <c r="W6" s="555"/>
      <c r="X6" s="555"/>
    </row>
    <row r="7" spans="1:256" s="632" customFormat="1" ht="20.149999999999999" customHeight="1">
      <c r="A7" s="630">
        <v>1</v>
      </c>
      <c r="B7" s="631" t="s">
        <v>1773</v>
      </c>
      <c r="C7" s="1036">
        <v>112.611</v>
      </c>
      <c r="D7" s="1036">
        <v>117.85085099999999</v>
      </c>
      <c r="E7" s="1036">
        <v>117.85085099999999</v>
      </c>
      <c r="F7" s="1036">
        <v>112.611</v>
      </c>
      <c r="G7" s="656"/>
      <c r="H7" s="656">
        <f t="shared" ref="H7" si="0">D7-E7</f>
        <v>0</v>
      </c>
      <c r="I7" s="654">
        <v>0</v>
      </c>
      <c r="J7" s="1036">
        <f t="shared" ref="J7:J9" si="1">E7+H7</f>
        <v>117.85085099999999</v>
      </c>
      <c r="K7" s="656">
        <f t="shared" ref="K7" si="2">D7-J7</f>
        <v>0</v>
      </c>
      <c r="L7" s="655"/>
      <c r="M7" s="591" t="s">
        <v>964</v>
      </c>
    </row>
    <row r="8" spans="1:256" s="632" customFormat="1" ht="20.149999999999999" customHeight="1">
      <c r="A8" s="630">
        <v>2</v>
      </c>
      <c r="B8" s="631" t="s">
        <v>30</v>
      </c>
      <c r="C8" s="1036">
        <v>29</v>
      </c>
      <c r="D8" s="1036">
        <v>29</v>
      </c>
      <c r="E8" s="1036">
        <v>26</v>
      </c>
      <c r="F8" s="1036">
        <v>0</v>
      </c>
      <c r="G8" s="656"/>
      <c r="H8" s="656">
        <v>0</v>
      </c>
      <c r="I8" s="654">
        <v>0</v>
      </c>
      <c r="J8" s="1036">
        <f t="shared" si="1"/>
        <v>26</v>
      </c>
      <c r="K8" s="656">
        <v>0</v>
      </c>
      <c r="L8" s="655"/>
      <c r="M8" s="591" t="s">
        <v>964</v>
      </c>
    </row>
    <row r="9" spans="1:256" s="635" customFormat="1" ht="19.5" customHeight="1">
      <c r="A9" s="633">
        <v>3</v>
      </c>
      <c r="B9" s="634" t="s">
        <v>679</v>
      </c>
      <c r="C9" s="658">
        <v>112.611</v>
      </c>
      <c r="D9" s="658">
        <v>117.85085099999999</v>
      </c>
      <c r="E9" s="658">
        <v>117.85085099999999</v>
      </c>
      <c r="F9" s="658">
        <v>112.611</v>
      </c>
      <c r="G9" s="657"/>
      <c r="H9" s="656">
        <v>0</v>
      </c>
      <c r="I9" s="654">
        <v>0</v>
      </c>
      <c r="J9" s="658">
        <f t="shared" si="1"/>
        <v>117.85085099999999</v>
      </c>
      <c r="K9" s="657">
        <f t="shared" ref="K9:K19" si="3">D9-J9</f>
        <v>0</v>
      </c>
      <c r="L9" s="742"/>
      <c r="M9" s="591" t="s">
        <v>964</v>
      </c>
      <c r="N9" s="636"/>
      <c r="O9" s="663"/>
      <c r="Q9" s="663"/>
    </row>
    <row r="10" spans="1:256" s="632" customFormat="1" ht="20.149999999999999" customHeight="1">
      <c r="A10" s="630">
        <v>4</v>
      </c>
      <c r="B10" s="631" t="s">
        <v>29</v>
      </c>
      <c r="C10" s="1036">
        <v>287</v>
      </c>
      <c r="D10" s="1036">
        <v>316</v>
      </c>
      <c r="E10" s="1036">
        <f>17+21+18+41+36+24+32+35+31+19+23+10+4+2+1+1+1</f>
        <v>316</v>
      </c>
      <c r="F10" s="1036">
        <v>287</v>
      </c>
      <c r="G10" s="658">
        <v>0</v>
      </c>
      <c r="H10" s="1036">
        <v>0</v>
      </c>
      <c r="I10" s="654">
        <v>0</v>
      </c>
      <c r="J10" s="1036">
        <f t="shared" ref="J10:J16" si="4">E10+H10</f>
        <v>316</v>
      </c>
      <c r="K10" s="1036">
        <f t="shared" si="3"/>
        <v>0</v>
      </c>
      <c r="L10" s="631"/>
      <c r="M10" s="591" t="s">
        <v>964</v>
      </c>
    </row>
    <row r="11" spans="1:256" s="632" customFormat="1" ht="20" customHeight="1">
      <c r="A11" s="633">
        <v>5</v>
      </c>
      <c r="B11" s="631" t="s">
        <v>28</v>
      </c>
      <c r="C11" s="1036">
        <f>C10</f>
        <v>287</v>
      </c>
      <c r="D11" s="1036">
        <v>316</v>
      </c>
      <c r="E11" s="1036">
        <f>17+21+18+41+36+24+32+35+31+19+23+10+4+2+1+1+1</f>
        <v>316</v>
      </c>
      <c r="F11" s="1036">
        <v>287</v>
      </c>
      <c r="G11" s="658">
        <v>0</v>
      </c>
      <c r="H11" s="1036">
        <v>0</v>
      </c>
      <c r="I11" s="654">
        <v>0</v>
      </c>
      <c r="J11" s="1036">
        <f>E11+H11</f>
        <v>316</v>
      </c>
      <c r="K11" s="1036">
        <f>D11-J11</f>
        <v>0</v>
      </c>
      <c r="L11" s="631"/>
      <c r="M11" s="591" t="s">
        <v>964</v>
      </c>
    </row>
    <row r="12" spans="1:256" s="632" customFormat="1" ht="20.149999999999999" customHeight="1">
      <c r="A12" s="630">
        <v>6</v>
      </c>
      <c r="B12" s="631" t="s">
        <v>19</v>
      </c>
      <c r="C12" s="1036">
        <f>C11</f>
        <v>287</v>
      </c>
      <c r="D12" s="1036">
        <v>309</v>
      </c>
      <c r="E12" s="1036">
        <f>26+70+28+16+29+8+75+25+15+6+6+3</f>
        <v>307</v>
      </c>
      <c r="F12" s="654">
        <f>F11</f>
        <v>287</v>
      </c>
      <c r="G12" s="658">
        <v>2</v>
      </c>
      <c r="H12" s="1036">
        <v>1</v>
      </c>
      <c r="I12" s="654">
        <v>0</v>
      </c>
      <c r="J12" s="1036">
        <f>E12+H12</f>
        <v>308</v>
      </c>
      <c r="K12" s="1036">
        <f t="shared" si="3"/>
        <v>1</v>
      </c>
      <c r="L12" s="21"/>
      <c r="M12" s="1052" t="s">
        <v>1838</v>
      </c>
      <c r="N12" s="1021"/>
    </row>
    <row r="13" spans="1:256" s="632" customFormat="1" ht="20.5" customHeight="1">
      <c r="A13" s="633">
        <v>7</v>
      </c>
      <c r="B13" s="631" t="s">
        <v>27</v>
      </c>
      <c r="C13" s="1036">
        <v>287</v>
      </c>
      <c r="D13" s="1036">
        <v>306</v>
      </c>
      <c r="E13" s="1036">
        <v>302</v>
      </c>
      <c r="F13" s="654">
        <v>287</v>
      </c>
      <c r="G13" s="658">
        <v>4</v>
      </c>
      <c r="H13" s="1036">
        <v>1</v>
      </c>
      <c r="I13" s="654">
        <v>0</v>
      </c>
      <c r="J13" s="1036">
        <f>E13+H13</f>
        <v>303</v>
      </c>
      <c r="K13" s="1036">
        <f>D13-J13</f>
        <v>3</v>
      </c>
      <c r="L13" s="21"/>
      <c r="M13" s="1052"/>
      <c r="N13" s="1021"/>
    </row>
    <row r="14" spans="1:256" s="632" customFormat="1" ht="20.5" customHeight="1">
      <c r="A14" s="630">
        <v>8</v>
      </c>
      <c r="B14" s="631" t="s">
        <v>35</v>
      </c>
      <c r="C14" s="1036">
        <f>C13</f>
        <v>287</v>
      </c>
      <c r="D14" s="1036">
        <v>306</v>
      </c>
      <c r="E14" s="1036">
        <f>126+15+30+40+13+31</f>
        <v>255</v>
      </c>
      <c r="F14" s="1036">
        <v>287</v>
      </c>
      <c r="G14" s="658">
        <v>47</v>
      </c>
      <c r="H14" s="1036">
        <v>13</v>
      </c>
      <c r="I14" s="654">
        <v>0</v>
      </c>
      <c r="J14" s="1036">
        <f t="shared" si="4"/>
        <v>268</v>
      </c>
      <c r="K14" s="1036">
        <f>D14-J14</f>
        <v>38</v>
      </c>
      <c r="L14" s="1068">
        <v>1</v>
      </c>
      <c r="M14" s="1052" t="s">
        <v>1837</v>
      </c>
    </row>
    <row r="15" spans="1:256" s="632" customFormat="1" ht="20.5" customHeight="1">
      <c r="A15" s="630">
        <v>9</v>
      </c>
      <c r="B15" s="631" t="s">
        <v>1768</v>
      </c>
      <c r="C15" s="654">
        <v>241</v>
      </c>
      <c r="D15" s="654">
        <v>244</v>
      </c>
      <c r="E15" s="1036">
        <v>120</v>
      </c>
      <c r="F15" s="1036">
        <v>244</v>
      </c>
      <c r="G15" s="658">
        <v>80</v>
      </c>
      <c r="H15" s="1036">
        <v>13</v>
      </c>
      <c r="I15" s="654">
        <v>0</v>
      </c>
      <c r="J15" s="1036">
        <f t="shared" si="4"/>
        <v>133</v>
      </c>
      <c r="K15" s="1036">
        <f>D15-J15</f>
        <v>111</v>
      </c>
      <c r="L15" s="1282"/>
      <c r="M15" s="1052"/>
      <c r="O15" s="1180"/>
    </row>
    <row r="16" spans="1:256" s="632" customFormat="1" ht="29">
      <c r="A16" s="630">
        <v>10</v>
      </c>
      <c r="B16" s="631" t="s">
        <v>1196</v>
      </c>
      <c r="C16" s="654">
        <v>112.611</v>
      </c>
      <c r="D16" s="654">
        <f>D7</f>
        <v>117.85085099999999</v>
      </c>
      <c r="E16" s="656">
        <f>21.496+4.922+4.901+8.229+9.801+14.275+4.965+8.6</f>
        <v>77.188999999999993</v>
      </c>
      <c r="F16" s="1036">
        <v>112</v>
      </c>
      <c r="G16" s="658">
        <v>21.51</v>
      </c>
      <c r="H16" s="656">
        <f>0.243+0.224+0.417+0.48+0.244+0.497</f>
        <v>2.105</v>
      </c>
      <c r="I16" s="659">
        <v>0.24399999999999999</v>
      </c>
      <c r="J16" s="656">
        <f t="shared" si="4"/>
        <v>79.293999999999997</v>
      </c>
      <c r="K16" s="656">
        <f t="shared" si="3"/>
        <v>38.556850999999995</v>
      </c>
      <c r="L16" s="1440">
        <v>3</v>
      </c>
      <c r="M16" s="1316" t="s">
        <v>1853</v>
      </c>
      <c r="O16" s="1180"/>
    </row>
    <row r="17" spans="1:13" s="638" customFormat="1" ht="29">
      <c r="A17" s="22" t="s">
        <v>36</v>
      </c>
      <c r="B17" s="637" t="s">
        <v>17</v>
      </c>
      <c r="C17" s="654">
        <f>C16</f>
        <v>112.611</v>
      </c>
      <c r="D17" s="654">
        <f>D7</f>
        <v>117.85085099999999</v>
      </c>
      <c r="E17" s="656">
        <f>21.496+4.922+4.901+8.229+9.801+10.151+4.124+8.638+4.927</f>
        <v>77.188999999999993</v>
      </c>
      <c r="F17" s="1036">
        <v>112</v>
      </c>
      <c r="G17" s="658">
        <f>G16</f>
        <v>21.51</v>
      </c>
      <c r="H17" s="656">
        <f>0.243+0.224+3.03+0.417+0.48+0.244+4.916+0.497</f>
        <v>10.051</v>
      </c>
      <c r="I17" s="659">
        <f>4.916+0.497+0.244</f>
        <v>5.657</v>
      </c>
      <c r="J17" s="659">
        <f>E17+H17</f>
        <v>87.24</v>
      </c>
      <c r="K17" s="659">
        <f t="shared" si="3"/>
        <v>30.610850999999997</v>
      </c>
      <c r="L17" s="1441"/>
      <c r="M17" s="1316" t="s">
        <v>1852</v>
      </c>
    </row>
    <row r="18" spans="1:13" s="638" customFormat="1" ht="29">
      <c r="A18" s="22" t="s">
        <v>37</v>
      </c>
      <c r="B18" s="637" t="s">
        <v>18</v>
      </c>
      <c r="C18" s="654">
        <f>C17</f>
        <v>112.611</v>
      </c>
      <c r="D18" s="654">
        <f>D7</f>
        <v>117.85085099999999</v>
      </c>
      <c r="E18" s="656">
        <f>21.496+4.922+4.901+8.229+9.801+10.151+4.124+4.965+8.6</f>
        <v>77.188999999999993</v>
      </c>
      <c r="F18" s="1036">
        <v>112</v>
      </c>
      <c r="G18" s="658">
        <f>G17</f>
        <v>21.51</v>
      </c>
      <c r="H18" s="656">
        <f>0.243+0.224+0.417+0.48+0.244+0.497</f>
        <v>2.105</v>
      </c>
      <c r="I18" s="659">
        <v>0.24399999999999999</v>
      </c>
      <c r="J18" s="659">
        <f>E18+H18</f>
        <v>79.293999999999997</v>
      </c>
      <c r="K18" s="659">
        <f t="shared" si="3"/>
        <v>38.556850999999995</v>
      </c>
      <c r="L18" s="21">
        <v>1</v>
      </c>
      <c r="M18" s="1316" t="s">
        <v>1854</v>
      </c>
    </row>
    <row r="19" spans="1:13" s="632" customFormat="1" ht="18" customHeight="1" thickBot="1">
      <c r="A19" s="639">
        <v>11</v>
      </c>
      <c r="B19" s="640" t="s">
        <v>104</v>
      </c>
      <c r="C19" s="962">
        <f>C18</f>
        <v>112.611</v>
      </c>
      <c r="D19" s="962">
        <f>D7</f>
        <v>117.85085099999999</v>
      </c>
      <c r="E19" s="962">
        <f>13.612+4.6+18.591+22.959</f>
        <v>59.762</v>
      </c>
      <c r="F19" s="962">
        <v>112</v>
      </c>
      <c r="G19" s="658">
        <v>20</v>
      </c>
      <c r="H19" s="659">
        <v>4.4980000000000002</v>
      </c>
      <c r="I19" s="654">
        <v>0</v>
      </c>
      <c r="J19" s="962">
        <f>+E19+H19</f>
        <v>64.260000000000005</v>
      </c>
      <c r="K19" s="660">
        <f t="shared" si="3"/>
        <v>53.590850999999986</v>
      </c>
      <c r="L19" s="1031">
        <v>1</v>
      </c>
      <c r="M19" s="1052" t="s">
        <v>1857</v>
      </c>
    </row>
    <row r="20" spans="1:13" s="1" customFormat="1" ht="14.5">
      <c r="F20" s="149"/>
      <c r="G20" s="149"/>
      <c r="H20" s="74"/>
      <c r="J20" s="1439"/>
      <c r="K20" s="1439"/>
      <c r="L20" s="74"/>
      <c r="M20" s="1022"/>
    </row>
    <row r="21" spans="1:13">
      <c r="M21" s="74"/>
    </row>
    <row r="22" spans="1:13">
      <c r="M22" s="74"/>
    </row>
    <row r="23" spans="1:13">
      <c r="M23" s="74"/>
    </row>
    <row r="24" spans="1:13">
      <c r="A24" s="150" t="s">
        <v>305</v>
      </c>
    </row>
    <row r="260" spans="5:5">
      <c r="E260" s="866" t="s">
        <v>1357</v>
      </c>
    </row>
    <row r="261" spans="5:5">
      <c r="E261" s="866" t="s">
        <v>1357</v>
      </c>
    </row>
    <row r="262" spans="5:5">
      <c r="E262" s="866" t="s">
        <v>1357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L16:L17"/>
    <mergeCell ref="Y3:AJ3"/>
    <mergeCell ref="AK3:AV3"/>
    <mergeCell ref="AW3:BH3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 H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8"/>
  <sheetViews>
    <sheetView showGridLines="0" topLeftCell="A7" zoomScale="115" zoomScaleNormal="115" workbookViewId="0">
      <selection activeCell="E17" sqref="E17"/>
    </sheetView>
  </sheetViews>
  <sheetFormatPr defaultColWidth="14.453125" defaultRowHeight="14.5"/>
  <cols>
    <col min="1" max="1" width="7.7265625" customWidth="1"/>
    <col min="2" max="2" width="35.7265625" customWidth="1"/>
    <col min="3" max="3" width="17.54296875" customWidth="1"/>
    <col min="4" max="4" width="12.81640625" customWidth="1"/>
    <col min="5" max="5" width="15.453125" customWidth="1"/>
    <col min="6" max="6" width="15.81640625" customWidth="1"/>
    <col min="7" max="7" width="12.7265625" customWidth="1"/>
    <col min="8" max="8" width="65.81640625" customWidth="1"/>
    <col min="9" max="26" width="9.08984375" customWidth="1"/>
  </cols>
  <sheetData>
    <row r="1" spans="1:26" ht="18.75" customHeight="1">
      <c r="A1" s="1453" t="s">
        <v>120</v>
      </c>
      <c r="B1" s="1454"/>
      <c r="C1" s="1454"/>
      <c r="D1" s="1454"/>
      <c r="E1" s="1454"/>
      <c r="F1" s="1454"/>
      <c r="G1" s="1454"/>
      <c r="H1" s="1455"/>
      <c r="I1" s="1319"/>
      <c r="J1" s="1319"/>
      <c r="K1" s="1319"/>
      <c r="L1" s="1319"/>
      <c r="M1" s="1319"/>
      <c r="N1" s="1319"/>
      <c r="O1" s="1319"/>
      <c r="P1" s="1319"/>
      <c r="Q1" s="1319"/>
      <c r="R1" s="1319"/>
      <c r="S1" s="1319"/>
      <c r="T1" s="1319"/>
      <c r="U1" s="1319"/>
      <c r="V1" s="1319"/>
      <c r="W1" s="1319"/>
      <c r="X1" s="1319"/>
      <c r="Y1" s="1319"/>
      <c r="Z1" s="1319"/>
    </row>
    <row r="2" spans="1:26" ht="18.75" customHeight="1">
      <c r="A2" s="1456" t="s">
        <v>1802</v>
      </c>
      <c r="B2" s="1454"/>
      <c r="C2" s="1454"/>
      <c r="D2" s="1454"/>
      <c r="E2" s="1454"/>
      <c r="F2" s="1454"/>
      <c r="G2" s="1455"/>
      <c r="H2" s="1320" t="str">
        <f>TA413_PBNTL!M1</f>
        <v>26.06.2026</v>
      </c>
      <c r="I2" s="1319"/>
      <c r="J2" s="1319"/>
      <c r="K2" s="1319"/>
      <c r="L2" s="1319"/>
      <c r="M2" s="1319"/>
      <c r="N2" s="1319"/>
      <c r="O2" s="1319"/>
      <c r="P2" s="1319"/>
      <c r="Q2" s="1319"/>
      <c r="R2" s="1319"/>
      <c r="S2" s="1319"/>
      <c r="T2" s="1319"/>
      <c r="U2" s="1319"/>
      <c r="V2" s="1319"/>
      <c r="W2" s="1319"/>
      <c r="X2" s="1319"/>
      <c r="Y2" s="1319"/>
      <c r="Z2" s="1319"/>
    </row>
    <row r="3" spans="1:26" ht="18.75" customHeight="1">
      <c r="A3" s="1457" t="s">
        <v>1803</v>
      </c>
      <c r="B3" s="1455"/>
      <c r="C3" s="1458" t="s">
        <v>1823</v>
      </c>
      <c r="D3" s="1454"/>
      <c r="E3" s="1454"/>
      <c r="F3" s="1454"/>
      <c r="G3" s="1454"/>
      <c r="H3" s="1455"/>
      <c r="I3" s="1319"/>
      <c r="J3" s="1319"/>
      <c r="K3" s="1319"/>
      <c r="L3" s="1319"/>
      <c r="M3" s="1319"/>
      <c r="N3" s="1319"/>
      <c r="O3" s="1319"/>
      <c r="P3" s="1319"/>
      <c r="Q3" s="1319"/>
      <c r="R3" s="1319"/>
      <c r="S3" s="1319"/>
      <c r="T3" s="1319"/>
      <c r="U3" s="1319"/>
      <c r="V3" s="1319"/>
      <c r="W3" s="1319"/>
      <c r="X3" s="1319"/>
      <c r="Y3" s="1319"/>
      <c r="Z3" s="1319"/>
    </row>
    <row r="4" spans="1:26" ht="18.75" customHeight="1">
      <c r="A4" s="1457" t="s">
        <v>1804</v>
      </c>
      <c r="B4" s="1455"/>
      <c r="C4" s="1458" t="s">
        <v>1824</v>
      </c>
      <c r="D4" s="1454"/>
      <c r="E4" s="1454"/>
      <c r="F4" s="1454"/>
      <c r="G4" s="1454"/>
      <c r="H4" s="1455"/>
      <c r="I4" s="1319"/>
      <c r="J4" s="1319"/>
      <c r="K4" s="1319"/>
      <c r="L4" s="1319"/>
      <c r="M4" s="1319"/>
      <c r="N4" s="1319"/>
      <c r="O4" s="1319"/>
      <c r="P4" s="1319"/>
      <c r="Q4" s="1319"/>
      <c r="R4" s="1319"/>
      <c r="S4" s="1319"/>
      <c r="T4" s="1319"/>
      <c r="U4" s="1319"/>
      <c r="V4" s="1319"/>
      <c r="W4" s="1319"/>
      <c r="X4" s="1319"/>
      <c r="Y4" s="1319"/>
      <c r="Z4" s="1319"/>
    </row>
    <row r="5" spans="1:26" ht="18.75" customHeight="1">
      <c r="A5" s="1448" t="s">
        <v>1808</v>
      </c>
      <c r="B5" s="1449"/>
      <c r="C5" s="1449"/>
      <c r="D5" s="1449"/>
      <c r="E5" s="1449"/>
      <c r="F5" s="1449"/>
      <c r="G5" s="1449"/>
      <c r="H5" s="1450"/>
      <c r="I5" s="1323"/>
      <c r="J5" s="1323"/>
      <c r="K5" s="1323"/>
      <c r="L5" s="1323"/>
      <c r="M5" s="1323"/>
      <c r="N5" s="1323"/>
      <c r="O5" s="1323"/>
      <c r="P5" s="1323"/>
      <c r="Q5" s="1323"/>
      <c r="R5" s="1323"/>
      <c r="S5" s="1323"/>
      <c r="T5" s="1323"/>
      <c r="U5" s="1323"/>
      <c r="V5" s="1323"/>
      <c r="W5" s="1323"/>
      <c r="X5" s="1323"/>
      <c r="Y5" s="1323"/>
      <c r="Z5" s="1323"/>
    </row>
    <row r="6" spans="1:26" ht="18.75" customHeight="1">
      <c r="A6" s="1371" t="s">
        <v>1809</v>
      </c>
      <c r="B6" s="1371" t="s">
        <v>1810</v>
      </c>
      <c r="C6" s="1372" t="s">
        <v>1805</v>
      </c>
      <c r="D6" s="1371" t="s">
        <v>1811</v>
      </c>
      <c r="E6" s="1373" t="s">
        <v>1806</v>
      </c>
      <c r="F6" s="1373" t="s">
        <v>1807</v>
      </c>
      <c r="G6" s="1374" t="s">
        <v>1825</v>
      </c>
      <c r="H6" s="1374" t="s">
        <v>294</v>
      </c>
      <c r="I6" s="1324"/>
      <c r="J6" s="1324"/>
      <c r="K6" s="1324"/>
      <c r="L6" s="1321"/>
      <c r="M6" s="1321"/>
      <c r="N6" s="1324"/>
      <c r="O6" s="1324"/>
      <c r="P6" s="1324"/>
      <c r="Q6" s="1324"/>
      <c r="R6" s="1324"/>
      <c r="S6" s="1324"/>
      <c r="T6" s="1324"/>
      <c r="U6" s="1324"/>
      <c r="V6" s="1324"/>
      <c r="W6" s="1324"/>
      <c r="X6" s="1324"/>
      <c r="Y6" s="1324"/>
      <c r="Z6" s="1324"/>
    </row>
    <row r="7" spans="1:26" ht="18" customHeight="1">
      <c r="A7" s="1350">
        <v>1</v>
      </c>
      <c r="B7" s="1351" t="s">
        <v>1812</v>
      </c>
      <c r="C7" s="1375" t="s">
        <v>12</v>
      </c>
      <c r="D7" s="1354" t="s">
        <v>173</v>
      </c>
      <c r="E7" s="1353">
        <v>46175</v>
      </c>
      <c r="F7" s="1353">
        <v>46192</v>
      </c>
      <c r="G7" s="1354">
        <v>25</v>
      </c>
      <c r="H7" s="1351" t="s">
        <v>964</v>
      </c>
      <c r="I7" s="1321"/>
      <c r="J7" s="1321"/>
      <c r="K7" s="1321"/>
      <c r="L7" s="1321"/>
      <c r="M7" s="1321"/>
      <c r="N7" s="1321"/>
      <c r="O7" s="1321"/>
      <c r="P7" s="1321"/>
      <c r="Q7" s="1321"/>
      <c r="R7" s="1321"/>
      <c r="S7" s="1321"/>
      <c r="T7" s="1321"/>
      <c r="U7" s="1321"/>
      <c r="V7" s="1321"/>
      <c r="W7" s="1321"/>
      <c r="X7" s="1321"/>
      <c r="Y7" s="1321"/>
      <c r="Z7" s="1321"/>
    </row>
    <row r="8" spans="1:26" ht="13.5" customHeight="1">
      <c r="A8" s="1327"/>
      <c r="B8" s="1328"/>
      <c r="C8" s="1327"/>
      <c r="D8" s="1329"/>
      <c r="E8" s="1330"/>
      <c r="F8" s="1330"/>
      <c r="G8" s="1329"/>
      <c r="H8" s="1329"/>
      <c r="I8" s="1321"/>
      <c r="J8" s="1321"/>
      <c r="K8" s="1321"/>
      <c r="L8" s="1321"/>
      <c r="M8" s="1321"/>
      <c r="N8" s="1321"/>
      <c r="O8" s="1321"/>
      <c r="P8" s="1321"/>
      <c r="Q8" s="1321"/>
      <c r="R8" s="1321"/>
      <c r="S8" s="1321"/>
      <c r="T8" s="1321"/>
      <c r="U8" s="1321"/>
      <c r="V8" s="1321"/>
      <c r="W8" s="1321"/>
      <c r="X8" s="1321"/>
      <c r="Y8" s="1321"/>
      <c r="Z8" s="1321"/>
    </row>
    <row r="9" spans="1:26" ht="18.75" customHeight="1">
      <c r="A9" s="1451" t="s">
        <v>1813</v>
      </c>
      <c r="B9" s="1452"/>
      <c r="C9" s="1452"/>
      <c r="D9" s="1452"/>
      <c r="E9" s="1452"/>
      <c r="F9" s="1452"/>
      <c r="G9" s="1452"/>
      <c r="H9" s="1452"/>
      <c r="I9" s="1323"/>
      <c r="J9" s="1323"/>
      <c r="K9" s="1323"/>
      <c r="L9" s="1323"/>
      <c r="M9" s="1323"/>
      <c r="N9" s="1323"/>
      <c r="O9" s="1323"/>
      <c r="P9" s="1323"/>
      <c r="Q9" s="1323"/>
      <c r="R9" s="1323"/>
      <c r="S9" s="1323"/>
      <c r="T9" s="1323"/>
      <c r="U9" s="1323"/>
      <c r="V9" s="1323"/>
      <c r="W9" s="1323"/>
      <c r="X9" s="1323"/>
      <c r="Y9" s="1323"/>
      <c r="Z9" s="1323"/>
    </row>
    <row r="10" spans="1:26" ht="18.75" customHeight="1">
      <c r="A10" s="1346" t="s">
        <v>1809</v>
      </c>
      <c r="B10" s="1346" t="s">
        <v>1810</v>
      </c>
      <c r="C10" s="1346" t="s">
        <v>1814</v>
      </c>
      <c r="D10" s="1347" t="s">
        <v>1815</v>
      </c>
      <c r="E10" s="1348" t="s">
        <v>1806</v>
      </c>
      <c r="F10" s="1347" t="s">
        <v>1807</v>
      </c>
      <c r="G10" s="1345" t="s">
        <v>1825</v>
      </c>
      <c r="H10" s="1374" t="s">
        <v>294</v>
      </c>
      <c r="I10" s="1321"/>
      <c r="J10" s="1321"/>
      <c r="K10" s="1321"/>
      <c r="L10" s="1321"/>
      <c r="M10" s="1321"/>
      <c r="N10" s="1321"/>
      <c r="O10" s="1321"/>
      <c r="P10" s="1321"/>
      <c r="Q10" s="1321"/>
      <c r="R10" s="1321"/>
      <c r="S10" s="1321"/>
      <c r="T10" s="1321"/>
      <c r="U10" s="1321"/>
      <c r="V10" s="1321"/>
      <c r="W10" s="1321"/>
      <c r="X10" s="1321"/>
      <c r="Y10" s="1321"/>
      <c r="Z10" s="1321"/>
    </row>
    <row r="11" spans="1:26" ht="18" customHeight="1">
      <c r="A11" s="1325">
        <v>1</v>
      </c>
      <c r="B11" s="1334" t="s">
        <v>1505</v>
      </c>
      <c r="C11" s="1400" t="s">
        <v>672</v>
      </c>
      <c r="D11" s="1335">
        <f>Stringing!E43</f>
        <v>5.0193400000000006</v>
      </c>
      <c r="E11" s="1353">
        <v>46179</v>
      </c>
      <c r="F11" s="1355"/>
      <c r="G11" s="1354"/>
      <c r="H11" s="1356" t="s">
        <v>1856</v>
      </c>
      <c r="I11" s="1324"/>
      <c r="J11" s="1324"/>
      <c r="K11" s="1324"/>
      <c r="L11" s="1324"/>
      <c r="M11" s="1324"/>
      <c r="N11" s="1324"/>
      <c r="O11" s="1324"/>
      <c r="P11" s="1324"/>
      <c r="Q11" s="1324"/>
      <c r="R11" s="1324"/>
      <c r="S11" s="1324"/>
      <c r="T11" s="1324"/>
      <c r="U11" s="1324"/>
      <c r="V11" s="1324"/>
      <c r="W11" s="1324"/>
      <c r="X11" s="1324"/>
      <c r="Y11" s="1324"/>
      <c r="Z11" s="1324"/>
    </row>
    <row r="12" spans="1:26" ht="18" customHeight="1">
      <c r="A12" s="1362">
        <v>2</v>
      </c>
      <c r="B12" s="1363" t="s">
        <v>1505</v>
      </c>
      <c r="C12" s="1401" t="s">
        <v>1826</v>
      </c>
      <c r="D12" s="1364">
        <v>3.03</v>
      </c>
      <c r="E12" s="1369">
        <v>46186</v>
      </c>
      <c r="F12" s="1365"/>
      <c r="G12" s="1366">
        <v>35</v>
      </c>
      <c r="H12" s="1356" t="s">
        <v>1861</v>
      </c>
      <c r="I12" s="1324"/>
      <c r="J12" s="1324"/>
      <c r="K12" s="1324"/>
      <c r="L12" s="1324"/>
      <c r="M12" s="1324"/>
      <c r="N12" s="1324"/>
      <c r="O12" s="1324"/>
      <c r="P12" s="1324"/>
      <c r="Q12" s="1324"/>
      <c r="R12" s="1324"/>
      <c r="S12" s="1324"/>
      <c r="T12" s="1324"/>
      <c r="U12" s="1324"/>
      <c r="V12" s="1324"/>
      <c r="W12" s="1324"/>
      <c r="X12" s="1324"/>
      <c r="Y12" s="1324"/>
      <c r="Z12" s="1324"/>
    </row>
    <row r="13" spans="1:26" s="1388" customFormat="1" ht="18" customHeight="1">
      <c r="A13" s="1383">
        <v>3</v>
      </c>
      <c r="B13" s="1384" t="s">
        <v>1505</v>
      </c>
      <c r="C13" s="1402" t="s">
        <v>1834</v>
      </c>
      <c r="D13" s="1385">
        <v>0.41687799999999997</v>
      </c>
      <c r="E13" s="1386">
        <v>46192</v>
      </c>
      <c r="F13" s="1386">
        <v>46196</v>
      </c>
      <c r="G13" s="1446">
        <v>17</v>
      </c>
      <c r="H13" s="1356" t="s">
        <v>255</v>
      </c>
      <c r="I13" s="1387"/>
      <c r="J13" s="1387"/>
      <c r="K13" s="1387"/>
      <c r="L13" s="1387"/>
      <c r="M13" s="1387"/>
      <c r="N13" s="1387"/>
      <c r="O13" s="1387"/>
      <c r="P13" s="1387"/>
      <c r="Q13" s="1387"/>
      <c r="R13" s="1387"/>
      <c r="S13" s="1387"/>
      <c r="T13" s="1387"/>
      <c r="U13" s="1387"/>
      <c r="V13" s="1387"/>
      <c r="W13" s="1387"/>
      <c r="X13" s="1387"/>
      <c r="Y13" s="1387"/>
      <c r="Z13" s="1387"/>
    </row>
    <row r="14" spans="1:26" s="1388" customFormat="1" ht="18" customHeight="1">
      <c r="A14" s="1389">
        <v>4</v>
      </c>
      <c r="B14" s="1384" t="s">
        <v>1505</v>
      </c>
      <c r="C14" s="1402" t="s">
        <v>1835</v>
      </c>
      <c r="D14" s="1385">
        <v>0.48026999999999997</v>
      </c>
      <c r="E14" s="1386">
        <v>46192</v>
      </c>
      <c r="F14" s="1386">
        <v>46196</v>
      </c>
      <c r="G14" s="1447"/>
      <c r="H14" s="1356" t="s">
        <v>255</v>
      </c>
      <c r="I14" s="1387"/>
      <c r="J14" s="1387"/>
      <c r="K14" s="1387"/>
      <c r="L14" s="1387"/>
      <c r="M14" s="1387"/>
      <c r="N14" s="1387"/>
      <c r="O14" s="1387"/>
      <c r="P14" s="1387"/>
      <c r="Q14" s="1387"/>
      <c r="R14" s="1387"/>
      <c r="S14" s="1387"/>
      <c r="T14" s="1387"/>
      <c r="U14" s="1387"/>
      <c r="V14" s="1387"/>
      <c r="W14" s="1387"/>
      <c r="X14" s="1387"/>
      <c r="Y14" s="1387"/>
      <c r="Z14" s="1387"/>
    </row>
    <row r="15" spans="1:26" ht="19.5" customHeight="1">
      <c r="A15" s="1325">
        <v>5</v>
      </c>
      <c r="B15" s="1367" t="s">
        <v>1673</v>
      </c>
      <c r="C15" s="1403" t="s">
        <v>1827</v>
      </c>
      <c r="D15" s="1368">
        <f>Stringing!E38</f>
        <v>4.9162929999999996</v>
      </c>
      <c r="E15" s="1369">
        <v>46186</v>
      </c>
      <c r="F15" s="1369"/>
      <c r="G15" s="1370">
        <v>65</v>
      </c>
      <c r="H15" s="1418" t="s">
        <v>1866</v>
      </c>
      <c r="I15" s="1324"/>
      <c r="J15" s="1324"/>
      <c r="K15" s="1324"/>
      <c r="L15" s="1324"/>
      <c r="M15" s="1324"/>
      <c r="N15" s="1324"/>
      <c r="O15" s="1324"/>
      <c r="P15" s="1324"/>
      <c r="Q15" s="1324"/>
      <c r="R15" s="1324"/>
      <c r="S15" s="1324"/>
      <c r="T15" s="1324"/>
      <c r="U15" s="1324"/>
      <c r="V15" s="1324"/>
      <c r="W15" s="1324"/>
      <c r="X15" s="1324"/>
      <c r="Y15" s="1324"/>
      <c r="Z15" s="1324"/>
    </row>
    <row r="16" spans="1:26" ht="19.5" customHeight="1">
      <c r="A16" s="1325">
        <v>6</v>
      </c>
      <c r="B16" s="1367" t="s">
        <v>1673</v>
      </c>
      <c r="C16" s="1403" t="s">
        <v>1850</v>
      </c>
      <c r="D16" s="1368">
        <f>Stringing!E42</f>
        <v>4.6659179999999996</v>
      </c>
      <c r="E16" s="1369"/>
      <c r="F16" s="1369"/>
      <c r="G16" s="1370">
        <v>15</v>
      </c>
      <c r="H16" s="1418" t="s">
        <v>1851</v>
      </c>
      <c r="I16" s="1324"/>
      <c r="J16" s="1324"/>
      <c r="K16" s="1324"/>
      <c r="L16" s="1324"/>
      <c r="M16" s="1324"/>
      <c r="N16" s="1324"/>
      <c r="O16" s="1324"/>
      <c r="P16" s="1324"/>
      <c r="Q16" s="1324"/>
      <c r="R16" s="1324"/>
      <c r="S16" s="1324"/>
      <c r="T16" s="1324"/>
      <c r="U16" s="1324"/>
      <c r="V16" s="1324"/>
      <c r="W16" s="1324"/>
      <c r="X16" s="1324"/>
      <c r="Y16" s="1324"/>
      <c r="Z16" s="1324"/>
    </row>
    <row r="17" spans="1:26" ht="19.5" customHeight="1">
      <c r="A17" s="1325">
        <v>7</v>
      </c>
      <c r="B17" s="1367" t="s">
        <v>1673</v>
      </c>
      <c r="C17" s="1403" t="s">
        <v>1869</v>
      </c>
      <c r="D17" s="1368">
        <v>0.21121000000000001</v>
      </c>
      <c r="E17" s="1369"/>
      <c r="F17" s="1369"/>
      <c r="G17" s="1370"/>
      <c r="H17" s="1418" t="s">
        <v>1870</v>
      </c>
      <c r="I17" s="1324"/>
      <c r="J17" s="1324"/>
      <c r="K17" s="1324"/>
      <c r="L17" s="1324"/>
      <c r="M17" s="1324"/>
      <c r="N17" s="1324"/>
      <c r="O17" s="1324"/>
      <c r="P17" s="1324"/>
      <c r="Q17" s="1324"/>
      <c r="R17" s="1324"/>
      <c r="S17" s="1324"/>
      <c r="T17" s="1324"/>
      <c r="U17" s="1324"/>
      <c r="V17" s="1324"/>
      <c r="W17" s="1324"/>
      <c r="X17" s="1324"/>
      <c r="Y17" s="1324"/>
      <c r="Z17" s="1324"/>
    </row>
    <row r="18" spans="1:26" ht="18.5" customHeight="1">
      <c r="A18" s="1325">
        <v>8</v>
      </c>
      <c r="B18" s="1351" t="s">
        <v>1781</v>
      </c>
      <c r="C18" s="1400" t="s">
        <v>1849</v>
      </c>
      <c r="D18" s="1352">
        <f>Stringing!E34</f>
        <v>0.22381999999999999</v>
      </c>
      <c r="E18" s="1353">
        <v>46188</v>
      </c>
      <c r="F18" s="1353">
        <v>46199</v>
      </c>
      <c r="G18" s="1354">
        <v>25</v>
      </c>
      <c r="H18" s="1349" t="s">
        <v>1860</v>
      </c>
      <c r="I18" s="1324"/>
      <c r="J18" s="1324"/>
      <c r="K18" s="1324"/>
      <c r="L18" s="1324"/>
      <c r="M18" s="1324"/>
      <c r="N18" s="1324"/>
      <c r="O18" s="1324"/>
      <c r="P18" s="1324"/>
      <c r="Q18" s="1324"/>
      <c r="R18" s="1324"/>
      <c r="S18" s="1324"/>
      <c r="T18" s="1324"/>
      <c r="U18" s="1324"/>
      <c r="V18" s="1324"/>
      <c r="W18" s="1324"/>
      <c r="X18" s="1324"/>
      <c r="Y18" s="1324"/>
      <c r="Z18" s="1324"/>
    </row>
    <row r="19" spans="1:26" ht="18.5">
      <c r="A19" s="1327">
        <v>9</v>
      </c>
      <c r="B19" s="1351" t="s">
        <v>1843</v>
      </c>
      <c r="C19" s="1404" t="s">
        <v>1315</v>
      </c>
      <c r="D19" s="1352">
        <f>496.69/1000</f>
        <v>0.49669000000000002</v>
      </c>
      <c r="E19" s="1353">
        <v>46192</v>
      </c>
      <c r="F19" s="1353">
        <v>46199</v>
      </c>
      <c r="G19" s="1354">
        <v>22</v>
      </c>
      <c r="H19" s="1349" t="s">
        <v>1860</v>
      </c>
      <c r="I19" s="1324"/>
      <c r="J19" s="1324"/>
      <c r="K19" s="1324"/>
      <c r="L19" s="1324"/>
      <c r="M19" s="1324"/>
      <c r="N19" s="1324"/>
      <c r="O19" s="1324"/>
      <c r="P19" s="1324"/>
      <c r="Q19" s="1324"/>
      <c r="R19" s="1324"/>
      <c r="S19" s="1324"/>
      <c r="T19" s="1324"/>
      <c r="U19" s="1324"/>
      <c r="V19" s="1324"/>
      <c r="W19" s="1324"/>
      <c r="X19" s="1324"/>
      <c r="Y19" s="1324"/>
      <c r="Z19" s="1324"/>
    </row>
    <row r="20" spans="1:26" ht="18" customHeight="1">
      <c r="A20" s="1350"/>
      <c r="B20" s="1351"/>
      <c r="C20" s="1350"/>
      <c r="D20" s="1352"/>
      <c r="E20" s="1353"/>
      <c r="F20" s="1353"/>
      <c r="G20" s="1354"/>
      <c r="H20" s="1349"/>
      <c r="I20" s="1324"/>
      <c r="J20" s="1324"/>
      <c r="K20" s="1324"/>
      <c r="L20" s="1324"/>
      <c r="M20" s="1324"/>
      <c r="N20" s="1324"/>
      <c r="O20" s="1324"/>
      <c r="P20" s="1324"/>
      <c r="Q20" s="1324"/>
      <c r="R20" s="1324"/>
      <c r="S20" s="1324"/>
      <c r="T20" s="1324"/>
      <c r="U20" s="1324"/>
      <c r="V20" s="1324"/>
      <c r="W20" s="1324"/>
      <c r="X20" s="1324"/>
      <c r="Y20" s="1324"/>
      <c r="Z20" s="1324"/>
    </row>
    <row r="21" spans="1:26" ht="18.75" customHeight="1">
      <c r="A21" s="1459" t="s">
        <v>34</v>
      </c>
      <c r="B21" s="1454"/>
      <c r="C21" s="1454"/>
      <c r="D21" s="1454"/>
      <c r="E21" s="1454"/>
      <c r="F21" s="1454"/>
      <c r="G21" s="1454"/>
      <c r="H21" s="1455"/>
      <c r="I21" s="1324"/>
      <c r="J21" s="1324"/>
      <c r="K21" s="1324"/>
      <c r="L21" s="1324"/>
      <c r="M21" s="1324"/>
      <c r="N21" s="1324"/>
      <c r="O21" s="1324"/>
      <c r="P21" s="1324"/>
      <c r="Q21" s="1324"/>
      <c r="R21" s="1324"/>
      <c r="S21" s="1324"/>
      <c r="T21" s="1324"/>
      <c r="U21" s="1324"/>
      <c r="V21" s="1324"/>
      <c r="W21" s="1324"/>
      <c r="X21" s="1324"/>
      <c r="Y21" s="1324"/>
      <c r="Z21" s="1324"/>
    </row>
    <row r="22" spans="1:26" ht="18.75" customHeight="1">
      <c r="A22" s="1331" t="s">
        <v>1817</v>
      </c>
      <c r="B22" s="1331" t="s">
        <v>1810</v>
      </c>
      <c r="C22" s="1331" t="s">
        <v>1805</v>
      </c>
      <c r="D22" s="1332" t="s">
        <v>1811</v>
      </c>
      <c r="E22" s="1331" t="s">
        <v>1818</v>
      </c>
      <c r="F22" s="1333" t="s">
        <v>1806</v>
      </c>
      <c r="G22" s="1332" t="s">
        <v>1807</v>
      </c>
      <c r="H22" s="1331" t="s">
        <v>32</v>
      </c>
      <c r="I22" s="1324"/>
      <c r="J22" s="1324"/>
      <c r="K22" s="1324"/>
      <c r="L22" s="1324"/>
      <c r="M22" s="1324"/>
      <c r="N22" s="1324"/>
      <c r="O22" s="1324"/>
      <c r="P22" s="1324"/>
      <c r="Q22" s="1324"/>
      <c r="R22" s="1324"/>
      <c r="S22" s="1324"/>
      <c r="T22" s="1324"/>
      <c r="U22" s="1324"/>
      <c r="V22" s="1324"/>
      <c r="W22" s="1324"/>
      <c r="X22" s="1324"/>
      <c r="Y22" s="1324"/>
      <c r="Z22" s="1324"/>
    </row>
    <row r="23" spans="1:26" ht="18" customHeight="1">
      <c r="A23" s="1325">
        <v>1</v>
      </c>
      <c r="B23" s="1326" t="s">
        <v>952</v>
      </c>
      <c r="C23" s="1326" t="s">
        <v>1071</v>
      </c>
      <c r="D23" s="1357" t="str">
        <f>Earthing!D313</f>
        <v>DB1+9</v>
      </c>
      <c r="E23" s="1325"/>
      <c r="F23" s="1325"/>
      <c r="G23" s="1325"/>
      <c r="H23" s="1359" t="s">
        <v>1830</v>
      </c>
      <c r="I23" s="1324"/>
      <c r="J23" s="1324"/>
      <c r="K23" s="1324"/>
      <c r="L23" s="1324"/>
      <c r="M23" s="1324"/>
      <c r="N23" s="1324"/>
      <c r="O23" s="1324"/>
      <c r="P23" s="1324"/>
      <c r="Q23" s="1324"/>
      <c r="R23" s="1324"/>
      <c r="S23" s="1324"/>
      <c r="T23" s="1324"/>
      <c r="U23" s="1324"/>
      <c r="V23" s="1324"/>
      <c r="W23" s="1324"/>
      <c r="X23" s="1324"/>
      <c r="Y23" s="1324"/>
      <c r="Z23" s="1324"/>
    </row>
    <row r="24" spans="1:26" ht="18" customHeight="1">
      <c r="A24" s="1325">
        <v>2</v>
      </c>
      <c r="B24" s="1325"/>
      <c r="C24" s="1325"/>
      <c r="D24" s="1325"/>
      <c r="E24" s="1325"/>
      <c r="F24" s="1325"/>
      <c r="G24" s="1325"/>
      <c r="H24" s="1331"/>
      <c r="I24" s="1324"/>
      <c r="J24" s="1324"/>
      <c r="K24" s="1324"/>
      <c r="L24" s="1324"/>
      <c r="M24" s="1324"/>
      <c r="N24" s="1324"/>
      <c r="O24" s="1324"/>
      <c r="P24" s="1324"/>
      <c r="Q24" s="1324"/>
      <c r="R24" s="1324"/>
      <c r="S24" s="1324"/>
      <c r="T24" s="1324"/>
      <c r="U24" s="1324"/>
      <c r="V24" s="1324"/>
      <c r="W24" s="1324"/>
      <c r="X24" s="1324"/>
      <c r="Y24" s="1324"/>
      <c r="Z24" s="1324"/>
    </row>
    <row r="25" spans="1:26" ht="18.75" customHeight="1">
      <c r="A25" s="1460" t="s">
        <v>1816</v>
      </c>
      <c r="B25" s="1461"/>
      <c r="C25" s="1461"/>
      <c r="D25" s="1461"/>
      <c r="E25" s="1461"/>
      <c r="F25" s="1461"/>
      <c r="G25" s="1461"/>
      <c r="H25" s="1462"/>
      <c r="I25" s="1324"/>
      <c r="J25" s="1324"/>
      <c r="K25" s="1324"/>
      <c r="L25" s="1324"/>
      <c r="M25" s="1324"/>
      <c r="N25" s="1324"/>
      <c r="O25" s="1324"/>
      <c r="P25" s="1324"/>
      <c r="Q25" s="1324"/>
      <c r="R25" s="1324"/>
      <c r="S25" s="1324"/>
      <c r="T25" s="1324"/>
      <c r="U25" s="1324"/>
      <c r="V25" s="1324"/>
      <c r="W25" s="1324"/>
      <c r="X25" s="1324"/>
      <c r="Y25" s="1324"/>
      <c r="Z25" s="1324"/>
    </row>
    <row r="26" spans="1:26" ht="18.75" customHeight="1">
      <c r="A26" s="1331" t="s">
        <v>1817</v>
      </c>
      <c r="B26" s="1331" t="s">
        <v>1810</v>
      </c>
      <c r="C26" s="1331" t="s">
        <v>1814</v>
      </c>
      <c r="D26" s="1332" t="s">
        <v>1815</v>
      </c>
      <c r="E26" s="1333" t="s">
        <v>1806</v>
      </c>
      <c r="F26" s="1332" t="s">
        <v>1807</v>
      </c>
      <c r="G26" s="1463" t="s">
        <v>32</v>
      </c>
      <c r="H26" s="1455"/>
      <c r="I26" s="1324"/>
      <c r="J26" s="1324"/>
      <c r="K26" s="1324"/>
      <c r="L26" s="1324"/>
      <c r="M26" s="1324"/>
      <c r="N26" s="1324"/>
      <c r="O26" s="1324"/>
      <c r="P26" s="1324"/>
      <c r="Q26" s="1324"/>
      <c r="R26" s="1324"/>
      <c r="S26" s="1324"/>
      <c r="T26" s="1324"/>
      <c r="U26" s="1324"/>
      <c r="V26" s="1324"/>
      <c r="W26" s="1324"/>
      <c r="X26" s="1324"/>
      <c r="Y26" s="1324"/>
      <c r="Z26" s="1324"/>
    </row>
    <row r="27" spans="1:26" ht="18" customHeight="1">
      <c r="A27" s="1325">
        <v>1</v>
      </c>
      <c r="B27" s="1325" t="s">
        <v>1858</v>
      </c>
      <c r="C27" s="1325" t="s">
        <v>1867</v>
      </c>
      <c r="D27" s="1325">
        <v>4.8</v>
      </c>
      <c r="E27" s="1336">
        <v>46200</v>
      </c>
      <c r="F27" s="1325"/>
      <c r="G27" s="1464"/>
      <c r="H27" s="1455"/>
      <c r="I27" s="1324"/>
      <c r="J27" s="1324"/>
      <c r="K27" s="1324"/>
      <c r="L27" s="1324"/>
      <c r="M27" s="1324"/>
      <c r="N27" s="1324"/>
      <c r="O27" s="1324"/>
      <c r="P27" s="1324"/>
      <c r="Q27" s="1324"/>
      <c r="R27" s="1324"/>
      <c r="S27" s="1324"/>
      <c r="T27" s="1324"/>
      <c r="U27" s="1324"/>
      <c r="V27" s="1324"/>
      <c r="W27" s="1324"/>
      <c r="X27" s="1324"/>
      <c r="Y27" s="1324"/>
      <c r="Z27" s="1324"/>
    </row>
    <row r="28" spans="1:26" ht="18" customHeight="1">
      <c r="A28" s="1325"/>
      <c r="B28" s="1322"/>
      <c r="C28" s="1325"/>
      <c r="D28" s="1337"/>
      <c r="E28" s="1336"/>
      <c r="F28" s="1336"/>
      <c r="G28" s="1464"/>
      <c r="H28" s="1455"/>
      <c r="I28" s="1324"/>
      <c r="J28" s="1324"/>
      <c r="K28" s="1324"/>
      <c r="L28" s="1324"/>
      <c r="M28" s="1324"/>
      <c r="N28" s="1324"/>
      <c r="O28" s="1324"/>
      <c r="P28" s="1324"/>
      <c r="Q28" s="1324"/>
      <c r="R28" s="1324"/>
      <c r="S28" s="1324"/>
      <c r="T28" s="1324"/>
      <c r="U28" s="1324"/>
      <c r="V28" s="1324"/>
      <c r="W28" s="1324"/>
      <c r="X28" s="1324"/>
      <c r="Y28" s="1324"/>
      <c r="Z28" s="1324"/>
    </row>
    <row r="29" spans="1:26" ht="18.75" customHeight="1">
      <c r="A29" s="1459" t="s">
        <v>1819</v>
      </c>
      <c r="B29" s="1454"/>
      <c r="C29" s="1454"/>
      <c r="D29" s="1454"/>
      <c r="E29" s="1454"/>
      <c r="F29" s="1454"/>
      <c r="G29" s="1454"/>
      <c r="H29" s="1455"/>
      <c r="I29" s="1324"/>
      <c r="J29" s="1324"/>
      <c r="K29" s="1324"/>
      <c r="L29" s="1324"/>
      <c r="M29" s="1324"/>
      <c r="N29" s="1324"/>
      <c r="O29" s="1324"/>
      <c r="P29" s="1324"/>
      <c r="Q29" s="1324"/>
      <c r="R29" s="1324"/>
      <c r="S29" s="1324"/>
      <c r="T29" s="1324"/>
      <c r="U29" s="1324"/>
      <c r="V29" s="1324"/>
      <c r="W29" s="1324"/>
      <c r="X29" s="1324"/>
      <c r="Y29" s="1324"/>
      <c r="Z29" s="1324"/>
    </row>
    <row r="30" spans="1:26" ht="18.75" customHeight="1">
      <c r="A30" s="1331" t="s">
        <v>1817</v>
      </c>
      <c r="B30" s="1331" t="s">
        <v>1810</v>
      </c>
      <c r="C30" s="1331" t="s">
        <v>1805</v>
      </c>
      <c r="D30" s="1332" t="s">
        <v>1811</v>
      </c>
      <c r="E30" s="1333"/>
      <c r="F30" s="1333" t="s">
        <v>1806</v>
      </c>
      <c r="G30" s="1332" t="s">
        <v>1807</v>
      </c>
      <c r="H30" s="1331" t="s">
        <v>32</v>
      </c>
      <c r="I30" s="1324"/>
      <c r="J30" s="1324"/>
      <c r="K30" s="1324"/>
      <c r="L30" s="1324"/>
      <c r="M30" s="1324"/>
      <c r="N30" s="1324"/>
      <c r="O30" s="1324"/>
      <c r="P30" s="1324"/>
      <c r="Q30" s="1324"/>
      <c r="R30" s="1324"/>
      <c r="S30" s="1324"/>
      <c r="T30" s="1324"/>
      <c r="U30" s="1324"/>
      <c r="V30" s="1324"/>
      <c r="W30" s="1324"/>
      <c r="X30" s="1324"/>
      <c r="Y30" s="1324"/>
      <c r="Z30" s="1324"/>
    </row>
    <row r="31" spans="1:26" ht="18" customHeight="1">
      <c r="A31" s="1325">
        <v>1</v>
      </c>
      <c r="B31" s="1322"/>
      <c r="C31" s="1338"/>
      <c r="D31" s="1325"/>
      <c r="E31" s="1325"/>
      <c r="F31" s="1322"/>
      <c r="G31" s="1322"/>
      <c r="H31" s="1325"/>
      <c r="I31" s="1327"/>
      <c r="J31" s="1327"/>
      <c r="K31" s="1327"/>
      <c r="L31" s="1327"/>
      <c r="M31" s="1327"/>
      <c r="N31" s="1327"/>
      <c r="O31" s="1327"/>
      <c r="P31" s="1327"/>
      <c r="Q31" s="1327"/>
      <c r="R31" s="1319"/>
      <c r="S31" s="1319"/>
      <c r="T31" s="1319"/>
      <c r="U31" s="1319"/>
      <c r="V31" s="1319"/>
      <c r="W31" s="1319"/>
      <c r="X31" s="1319"/>
      <c r="Y31" s="1319"/>
      <c r="Z31" s="1319"/>
    </row>
    <row r="32" spans="1:26" ht="18" customHeight="1">
      <c r="A32" s="1325">
        <v>2</v>
      </c>
      <c r="B32" s="1322"/>
      <c r="C32" s="1338"/>
      <c r="D32" s="1325"/>
      <c r="E32" s="1325"/>
      <c r="F32" s="1325"/>
      <c r="G32" s="1325"/>
      <c r="H32" s="1325"/>
      <c r="I32" s="1319"/>
      <c r="J32" s="1319"/>
      <c r="K32" s="1319"/>
      <c r="L32" s="1319"/>
      <c r="M32" s="1319"/>
      <c r="N32" s="1319"/>
      <c r="O32" s="1319"/>
      <c r="P32" s="1319"/>
      <c r="Q32" s="1319"/>
      <c r="R32" s="1319"/>
      <c r="S32" s="1319"/>
      <c r="T32" s="1319"/>
      <c r="U32" s="1319"/>
      <c r="V32" s="1319"/>
      <c r="W32" s="1319"/>
      <c r="X32" s="1319"/>
      <c r="Y32" s="1319"/>
      <c r="Z32" s="1319"/>
    </row>
    <row r="33" spans="1:26" ht="18.75" customHeight="1">
      <c r="A33" s="1459" t="s">
        <v>1820</v>
      </c>
      <c r="B33" s="1454"/>
      <c r="C33" s="1454"/>
      <c r="D33" s="1454"/>
      <c r="E33" s="1454"/>
      <c r="F33" s="1454"/>
      <c r="G33" s="1454"/>
      <c r="H33" s="1455"/>
      <c r="I33" s="1319"/>
      <c r="J33" s="1319"/>
      <c r="K33" s="1319"/>
      <c r="L33" s="1319"/>
      <c r="M33" s="1319"/>
      <c r="N33" s="1319"/>
      <c r="O33" s="1319"/>
      <c r="P33" s="1319"/>
      <c r="Q33" s="1319"/>
      <c r="R33" s="1319"/>
      <c r="S33" s="1319"/>
      <c r="T33" s="1319"/>
      <c r="U33" s="1319"/>
      <c r="V33" s="1319"/>
      <c r="W33" s="1319"/>
      <c r="X33" s="1319"/>
      <c r="Y33" s="1319"/>
      <c r="Z33" s="1319"/>
    </row>
    <row r="34" spans="1:26" ht="39" customHeight="1">
      <c r="A34" s="1331" t="s">
        <v>1817</v>
      </c>
      <c r="B34" s="1331" t="s">
        <v>1810</v>
      </c>
      <c r="C34" s="1331" t="s">
        <v>1805</v>
      </c>
      <c r="D34" s="1332" t="s">
        <v>1811</v>
      </c>
      <c r="E34" s="1332" t="s">
        <v>1821</v>
      </c>
      <c r="F34" s="1339" t="s">
        <v>1822</v>
      </c>
      <c r="G34" s="1332"/>
      <c r="H34" s="1331" t="s">
        <v>32</v>
      </c>
      <c r="I34" s="1319"/>
      <c r="J34" s="1319"/>
      <c r="K34" s="1319"/>
      <c r="L34" s="1319"/>
      <c r="M34" s="1319"/>
      <c r="N34" s="1319"/>
      <c r="O34" s="1319"/>
      <c r="P34" s="1319"/>
      <c r="Q34" s="1319"/>
      <c r="R34" s="1319"/>
      <c r="S34" s="1319"/>
      <c r="T34" s="1319"/>
      <c r="U34" s="1319"/>
      <c r="V34" s="1319"/>
      <c r="W34" s="1319"/>
      <c r="X34" s="1319"/>
      <c r="Y34" s="1319"/>
      <c r="Z34" s="1319"/>
    </row>
    <row r="35" spans="1:26" ht="18" customHeight="1">
      <c r="A35" s="1325">
        <v>1</v>
      </c>
      <c r="B35" s="1340"/>
      <c r="C35" s="1341"/>
      <c r="D35" s="1325"/>
      <c r="E35" s="1325"/>
      <c r="F35" s="1325"/>
      <c r="G35" s="1325"/>
      <c r="H35" s="1325"/>
      <c r="I35" s="1319"/>
      <c r="J35" s="1319"/>
      <c r="K35" s="1319"/>
      <c r="L35" s="1319"/>
      <c r="M35" s="1319"/>
      <c r="N35" s="1319"/>
      <c r="O35" s="1319"/>
      <c r="P35" s="1319"/>
      <c r="Q35" s="1319"/>
      <c r="R35" s="1319"/>
      <c r="S35" s="1319"/>
      <c r="T35" s="1319"/>
      <c r="U35" s="1319"/>
      <c r="V35" s="1319"/>
      <c r="W35" s="1319"/>
      <c r="X35" s="1319"/>
      <c r="Y35" s="1319"/>
      <c r="Z35" s="1319"/>
    </row>
    <row r="36" spans="1:26" ht="18" customHeight="1">
      <c r="A36" s="1325">
        <v>2</v>
      </c>
      <c r="B36" s="1340"/>
      <c r="C36" s="1341"/>
      <c r="D36" s="1325"/>
      <c r="E36" s="1325"/>
      <c r="F36" s="1325"/>
      <c r="G36" s="1325"/>
      <c r="H36" s="1325"/>
      <c r="I36" s="1319"/>
      <c r="J36" s="1319"/>
      <c r="K36" s="1319"/>
      <c r="L36" s="1319"/>
      <c r="M36" s="1319"/>
      <c r="N36" s="1319"/>
      <c r="O36" s="1319"/>
      <c r="P36" s="1319"/>
      <c r="Q36" s="1319"/>
      <c r="R36" s="1319"/>
      <c r="S36" s="1319"/>
      <c r="T36" s="1319"/>
      <c r="U36" s="1319"/>
      <c r="V36" s="1319"/>
      <c r="W36" s="1319"/>
      <c r="X36" s="1319"/>
      <c r="Y36" s="1319"/>
      <c r="Z36" s="1319"/>
    </row>
    <row r="37" spans="1:26" ht="18" customHeight="1">
      <c r="A37" s="1325">
        <v>3</v>
      </c>
      <c r="B37" s="1325"/>
      <c r="C37" s="1341"/>
      <c r="D37" s="1325"/>
      <c r="E37" s="1325"/>
      <c r="F37" s="1325"/>
      <c r="G37" s="1325"/>
      <c r="H37" s="1325"/>
      <c r="I37" s="1319"/>
      <c r="J37" s="1319"/>
      <c r="K37" s="1319"/>
      <c r="L37" s="1319"/>
      <c r="M37" s="1319"/>
      <c r="N37" s="1319"/>
      <c r="O37" s="1319"/>
      <c r="P37" s="1319"/>
      <c r="Q37" s="1319"/>
      <c r="R37" s="1319"/>
      <c r="S37" s="1319"/>
      <c r="T37" s="1319"/>
      <c r="U37" s="1319"/>
      <c r="V37" s="1319"/>
      <c r="W37" s="1319"/>
      <c r="X37" s="1319"/>
      <c r="Y37" s="1319"/>
      <c r="Z37" s="1319"/>
    </row>
    <row r="38" spans="1:26" ht="18.75" customHeight="1">
      <c r="A38" s="1342"/>
      <c r="B38" s="1343"/>
      <c r="C38" s="1342"/>
      <c r="D38" s="1343"/>
      <c r="E38" s="1342"/>
      <c r="F38" s="1342"/>
      <c r="G38" s="1342"/>
      <c r="H38" s="1342"/>
      <c r="I38" s="1319"/>
      <c r="J38" s="1319"/>
      <c r="K38" s="1319"/>
      <c r="L38" s="1319"/>
      <c r="M38" s="1319"/>
      <c r="N38" s="1319"/>
      <c r="O38" s="1319"/>
      <c r="P38" s="1319"/>
      <c r="Q38" s="1319"/>
      <c r="R38" s="1319"/>
      <c r="S38" s="1319"/>
      <c r="T38" s="1319"/>
      <c r="U38" s="1319"/>
      <c r="V38" s="1319"/>
      <c r="W38" s="1319"/>
      <c r="X38" s="1319"/>
      <c r="Y38" s="1319"/>
      <c r="Z38" s="1319"/>
    </row>
    <row r="39" spans="1:26" ht="18.75" customHeight="1">
      <c r="A39" s="1342"/>
      <c r="B39" s="1343"/>
      <c r="C39" s="1342"/>
      <c r="D39" s="1343"/>
      <c r="E39" s="1342"/>
      <c r="F39" s="1342"/>
      <c r="G39" s="1342"/>
      <c r="H39" s="1342"/>
      <c r="I39" s="1319"/>
      <c r="J39" s="1319"/>
      <c r="K39" s="1319"/>
      <c r="L39" s="1319"/>
      <c r="M39" s="1319"/>
      <c r="N39" s="1319"/>
      <c r="O39" s="1319"/>
      <c r="P39" s="1319"/>
      <c r="Q39" s="1319"/>
      <c r="R39" s="1319"/>
      <c r="S39" s="1319"/>
      <c r="T39" s="1319"/>
      <c r="U39" s="1319"/>
      <c r="V39" s="1319"/>
      <c r="W39" s="1319"/>
      <c r="X39" s="1319"/>
      <c r="Y39" s="1319"/>
      <c r="Z39" s="1319"/>
    </row>
    <row r="40" spans="1:26" ht="18.75" customHeight="1">
      <c r="A40" s="1342"/>
      <c r="B40" s="1343"/>
      <c r="C40" s="1342"/>
      <c r="D40" s="1343"/>
      <c r="E40" s="1342"/>
      <c r="F40" s="1342"/>
      <c r="G40" s="1342"/>
      <c r="H40" s="1342"/>
      <c r="I40" s="1319"/>
      <c r="J40" s="1319"/>
      <c r="K40" s="1319"/>
      <c r="L40" s="1319"/>
      <c r="M40" s="1319"/>
      <c r="N40" s="1319"/>
      <c r="O40" s="1319"/>
      <c r="P40" s="1319"/>
      <c r="Q40" s="1319"/>
      <c r="R40" s="1319"/>
      <c r="S40" s="1319"/>
      <c r="T40" s="1319"/>
      <c r="U40" s="1319"/>
      <c r="V40" s="1319"/>
      <c r="W40" s="1319"/>
      <c r="X40" s="1319"/>
      <c r="Y40" s="1319"/>
      <c r="Z40" s="1319"/>
    </row>
    <row r="41" spans="1:26" ht="18.75" customHeight="1">
      <c r="A41" s="1342"/>
      <c r="B41" s="1343"/>
      <c r="C41" s="1342"/>
      <c r="D41" s="1343"/>
      <c r="E41" s="1342"/>
      <c r="F41" s="1342"/>
      <c r="G41" s="1342"/>
      <c r="H41" s="1342"/>
      <c r="I41" s="1319"/>
      <c r="J41" s="1319"/>
      <c r="K41" s="1319"/>
      <c r="L41" s="1319"/>
      <c r="M41" s="1319"/>
      <c r="N41" s="1319"/>
      <c r="O41" s="1319"/>
      <c r="P41" s="1319"/>
      <c r="Q41" s="1319"/>
      <c r="R41" s="1319"/>
      <c r="S41" s="1319"/>
      <c r="T41" s="1319"/>
      <c r="U41" s="1319"/>
      <c r="V41" s="1319"/>
      <c r="W41" s="1319"/>
      <c r="X41" s="1319"/>
      <c r="Y41" s="1319"/>
      <c r="Z41" s="1319"/>
    </row>
    <row r="42" spans="1:26" ht="18.75" customHeight="1">
      <c r="A42" s="1342"/>
      <c r="B42" s="1343"/>
      <c r="C42" s="1342"/>
      <c r="D42" s="1343"/>
      <c r="E42" s="1342"/>
      <c r="F42" s="1342"/>
      <c r="G42" s="1342"/>
      <c r="H42" s="1342"/>
      <c r="I42" s="1319"/>
      <c r="J42" s="1319"/>
      <c r="K42" s="1319"/>
      <c r="L42" s="1319"/>
      <c r="M42" s="1319"/>
      <c r="N42" s="1319"/>
      <c r="O42" s="1319"/>
      <c r="P42" s="1319"/>
      <c r="Q42" s="1319"/>
      <c r="R42" s="1319"/>
      <c r="S42" s="1319"/>
      <c r="T42" s="1319"/>
      <c r="U42" s="1319"/>
      <c r="V42" s="1319"/>
      <c r="W42" s="1319"/>
      <c r="X42" s="1319"/>
      <c r="Y42" s="1319"/>
      <c r="Z42" s="1319"/>
    </row>
    <row r="43" spans="1:26" ht="18.75" customHeight="1">
      <c r="A43" s="1319"/>
      <c r="B43" s="1344"/>
      <c r="C43" s="1319"/>
      <c r="D43" s="1344"/>
      <c r="E43" s="1319"/>
      <c r="F43" s="1319"/>
      <c r="G43" s="1319"/>
      <c r="H43" s="1319"/>
      <c r="I43" s="1319"/>
      <c r="J43" s="1319"/>
      <c r="K43" s="1319"/>
      <c r="L43" s="1319"/>
      <c r="M43" s="1319"/>
      <c r="N43" s="1319"/>
      <c r="O43" s="1319"/>
      <c r="P43" s="1319"/>
      <c r="Q43" s="1319"/>
      <c r="R43" s="1319"/>
      <c r="S43" s="1319"/>
      <c r="T43" s="1319"/>
      <c r="U43" s="1319"/>
      <c r="V43" s="1319"/>
      <c r="W43" s="1319"/>
      <c r="X43" s="1319"/>
      <c r="Y43" s="1319"/>
      <c r="Z43" s="1319"/>
    </row>
    <row r="44" spans="1:26" ht="18.75" customHeight="1">
      <c r="A44" s="1319"/>
      <c r="B44" s="1344"/>
      <c r="C44" s="1319"/>
      <c r="D44" s="1344"/>
      <c r="E44" s="1319"/>
      <c r="F44" s="1319"/>
      <c r="G44" s="1319"/>
      <c r="H44" s="1319"/>
      <c r="I44" s="1319"/>
      <c r="J44" s="1319"/>
      <c r="K44" s="1319"/>
      <c r="L44" s="1319"/>
      <c r="M44" s="1319"/>
      <c r="N44" s="1319"/>
      <c r="O44" s="1319"/>
      <c r="P44" s="1319"/>
      <c r="Q44" s="1319"/>
      <c r="R44" s="1319"/>
      <c r="S44" s="1319"/>
      <c r="T44" s="1319"/>
      <c r="U44" s="1319"/>
      <c r="V44" s="1319"/>
      <c r="W44" s="1319"/>
      <c r="X44" s="1319"/>
      <c r="Y44" s="1319"/>
      <c r="Z44" s="1319"/>
    </row>
    <row r="45" spans="1:26" ht="18.75" customHeight="1">
      <c r="A45" s="1319"/>
      <c r="B45" s="1344"/>
      <c r="C45" s="1319"/>
      <c r="D45" s="1344"/>
      <c r="E45" s="1319"/>
      <c r="F45" s="1319"/>
      <c r="G45" s="1319"/>
      <c r="H45" s="1319"/>
      <c r="I45" s="1319"/>
      <c r="J45" s="1319"/>
      <c r="K45" s="1319"/>
      <c r="L45" s="1319"/>
      <c r="M45" s="1319"/>
      <c r="N45" s="1319"/>
      <c r="O45" s="1319"/>
      <c r="P45" s="1319"/>
      <c r="Q45" s="1319"/>
      <c r="R45" s="1319"/>
      <c r="S45" s="1319"/>
      <c r="T45" s="1319"/>
      <c r="U45" s="1319"/>
      <c r="V45" s="1319"/>
      <c r="W45" s="1319"/>
      <c r="X45" s="1319"/>
      <c r="Y45" s="1319"/>
      <c r="Z45" s="1319"/>
    </row>
    <row r="46" spans="1:26" ht="18.75" customHeight="1">
      <c r="A46" s="1319"/>
      <c r="B46" s="1344"/>
      <c r="C46" s="1319"/>
      <c r="D46" s="1344"/>
      <c r="E46" s="1319"/>
      <c r="F46" s="1319"/>
      <c r="G46" s="1319"/>
      <c r="H46" s="1319"/>
      <c r="I46" s="1319"/>
      <c r="J46" s="1319"/>
      <c r="K46" s="1319"/>
      <c r="L46" s="1319"/>
      <c r="M46" s="1319"/>
      <c r="N46" s="1319"/>
      <c r="O46" s="1319"/>
      <c r="P46" s="1319"/>
      <c r="Q46" s="1319"/>
      <c r="R46" s="1319"/>
      <c r="S46" s="1319"/>
      <c r="T46" s="1319"/>
      <c r="U46" s="1319"/>
      <c r="V46" s="1319"/>
      <c r="W46" s="1319"/>
      <c r="X46" s="1319"/>
      <c r="Y46" s="1319"/>
      <c r="Z46" s="1319"/>
    </row>
    <row r="47" spans="1:26" ht="18.75" customHeight="1">
      <c r="A47" s="1319"/>
      <c r="B47" s="1344"/>
      <c r="C47" s="1319"/>
      <c r="D47" s="1344"/>
      <c r="E47" s="1319"/>
      <c r="F47" s="1319"/>
      <c r="G47" s="1319"/>
      <c r="H47" s="1319"/>
      <c r="I47" s="1319"/>
      <c r="J47" s="1319"/>
      <c r="K47" s="1319"/>
      <c r="L47" s="1319"/>
      <c r="M47" s="1319"/>
      <c r="N47" s="1319"/>
      <c r="O47" s="1319"/>
      <c r="P47" s="1319"/>
      <c r="Q47" s="1319"/>
      <c r="R47" s="1319"/>
      <c r="S47" s="1319"/>
      <c r="T47" s="1319"/>
      <c r="U47" s="1319"/>
      <c r="V47" s="1319"/>
      <c r="W47" s="1319"/>
      <c r="X47" s="1319"/>
      <c r="Y47" s="1319"/>
      <c r="Z47" s="1319"/>
    </row>
    <row r="48" spans="1:26" ht="18.75" customHeight="1">
      <c r="A48" s="1319"/>
      <c r="B48" s="1344"/>
      <c r="C48" s="1319"/>
      <c r="D48" s="1344"/>
      <c r="E48" s="1319"/>
      <c r="F48" s="1319"/>
      <c r="G48" s="1319"/>
      <c r="H48" s="1319"/>
      <c r="I48" s="1319"/>
      <c r="J48" s="1319"/>
      <c r="K48" s="1319"/>
      <c r="L48" s="1319"/>
      <c r="M48" s="1319"/>
      <c r="N48" s="1319"/>
      <c r="O48" s="1319"/>
      <c r="P48" s="1319"/>
      <c r="Q48" s="1319"/>
      <c r="R48" s="1319"/>
      <c r="S48" s="1319"/>
      <c r="T48" s="1319"/>
      <c r="U48" s="1319"/>
      <c r="V48" s="1319"/>
      <c r="W48" s="1319"/>
      <c r="X48" s="1319"/>
      <c r="Y48" s="1319"/>
      <c r="Z48" s="1319"/>
    </row>
    <row r="49" spans="1:26" ht="18.75" customHeight="1">
      <c r="A49" s="1319"/>
      <c r="B49" s="1344"/>
      <c r="C49" s="1319"/>
      <c r="D49" s="1344"/>
      <c r="E49" s="1319"/>
      <c r="F49" s="1319"/>
      <c r="G49" s="1319"/>
      <c r="H49" s="1319"/>
      <c r="I49" s="1319"/>
      <c r="J49" s="1319"/>
      <c r="K49" s="1319"/>
      <c r="L49" s="1319"/>
      <c r="M49" s="1319"/>
      <c r="N49" s="1319"/>
      <c r="O49" s="1319"/>
      <c r="P49" s="1319"/>
      <c r="Q49" s="1319"/>
      <c r="R49" s="1319"/>
      <c r="S49" s="1319"/>
      <c r="T49" s="1319"/>
      <c r="U49" s="1319"/>
      <c r="V49" s="1319"/>
      <c r="W49" s="1319"/>
      <c r="X49" s="1319"/>
      <c r="Y49" s="1319"/>
      <c r="Z49" s="1319"/>
    </row>
    <row r="50" spans="1:26" ht="18.75" customHeight="1">
      <c r="A50" s="1319"/>
      <c r="B50" s="1344"/>
      <c r="C50" s="1319"/>
      <c r="D50" s="1344"/>
      <c r="E50" s="1319"/>
      <c r="F50" s="1319"/>
      <c r="G50" s="1319"/>
      <c r="H50" s="1319"/>
      <c r="I50" s="1319"/>
      <c r="J50" s="1319"/>
      <c r="K50" s="1319"/>
      <c r="L50" s="1319"/>
      <c r="M50" s="1319"/>
      <c r="N50" s="1319"/>
      <c r="O50" s="1319"/>
      <c r="P50" s="1319"/>
      <c r="Q50" s="1319"/>
      <c r="R50" s="1319"/>
      <c r="S50" s="1319"/>
      <c r="T50" s="1319"/>
      <c r="U50" s="1319"/>
      <c r="V50" s="1319"/>
      <c r="W50" s="1319"/>
      <c r="X50" s="1319"/>
      <c r="Y50" s="1319"/>
      <c r="Z50" s="1319"/>
    </row>
    <row r="51" spans="1:26" ht="18.75" customHeight="1">
      <c r="A51" s="1319"/>
      <c r="B51" s="1344"/>
      <c r="C51" s="1319"/>
      <c r="D51" s="1344"/>
      <c r="E51" s="1319"/>
      <c r="F51" s="1319"/>
      <c r="G51" s="1319"/>
      <c r="H51" s="1319"/>
      <c r="I51" s="1319"/>
      <c r="J51" s="1319"/>
      <c r="K51" s="1319"/>
      <c r="L51" s="1319"/>
      <c r="M51" s="1319"/>
      <c r="N51" s="1319"/>
      <c r="O51" s="1319"/>
      <c r="P51" s="1319"/>
      <c r="Q51" s="1319"/>
      <c r="R51" s="1319"/>
      <c r="S51" s="1319"/>
      <c r="T51" s="1319"/>
      <c r="U51" s="1319"/>
      <c r="V51" s="1319"/>
      <c r="W51" s="1319"/>
      <c r="X51" s="1319"/>
      <c r="Y51" s="1319"/>
      <c r="Z51" s="1319"/>
    </row>
    <row r="52" spans="1:26" ht="18.75" customHeight="1">
      <c r="A52" s="1319"/>
      <c r="B52" s="1344"/>
      <c r="C52" s="1319"/>
      <c r="D52" s="1344"/>
      <c r="E52" s="1319"/>
      <c r="F52" s="1319"/>
      <c r="G52" s="1319"/>
      <c r="H52" s="1319"/>
      <c r="I52" s="1319"/>
      <c r="J52" s="1319"/>
      <c r="K52" s="1319"/>
      <c r="L52" s="1319"/>
      <c r="M52" s="1319"/>
      <c r="N52" s="1319"/>
      <c r="O52" s="1319"/>
      <c r="P52" s="1319"/>
      <c r="Q52" s="1319"/>
      <c r="R52" s="1319"/>
      <c r="S52" s="1319"/>
      <c r="T52" s="1319"/>
      <c r="U52" s="1319"/>
      <c r="V52" s="1319"/>
      <c r="W52" s="1319"/>
      <c r="X52" s="1319"/>
      <c r="Y52" s="1319"/>
      <c r="Z52" s="1319"/>
    </row>
    <row r="53" spans="1:26" ht="18.75" customHeight="1">
      <c r="A53" s="1319"/>
      <c r="B53" s="1344"/>
      <c r="C53" s="1319"/>
      <c r="D53" s="1344"/>
      <c r="E53" s="1319"/>
      <c r="F53" s="1319"/>
      <c r="G53" s="1319"/>
      <c r="H53" s="1319"/>
      <c r="I53" s="1319"/>
      <c r="J53" s="1319"/>
      <c r="K53" s="1319"/>
      <c r="L53" s="1319"/>
      <c r="M53" s="1319"/>
      <c r="N53" s="1319"/>
      <c r="O53" s="1319"/>
      <c r="P53" s="1319"/>
      <c r="Q53" s="1319"/>
      <c r="R53" s="1319"/>
      <c r="S53" s="1319"/>
      <c r="T53" s="1319"/>
      <c r="U53" s="1319"/>
      <c r="V53" s="1319"/>
      <c r="W53" s="1319"/>
      <c r="X53" s="1319"/>
      <c r="Y53" s="1319"/>
      <c r="Z53" s="1319"/>
    </row>
    <row r="54" spans="1:26" ht="18.75" customHeight="1">
      <c r="A54" s="1319"/>
      <c r="B54" s="1344"/>
      <c r="C54" s="1319"/>
      <c r="D54" s="1344"/>
      <c r="E54" s="1319"/>
      <c r="F54" s="1319"/>
      <c r="G54" s="1319"/>
      <c r="H54" s="1319"/>
      <c r="I54" s="1319"/>
      <c r="J54" s="1319"/>
      <c r="K54" s="1319"/>
      <c r="L54" s="1319"/>
      <c r="M54" s="1319"/>
      <c r="N54" s="1319"/>
      <c r="O54" s="1319"/>
      <c r="P54" s="1319"/>
      <c r="Q54" s="1319"/>
      <c r="R54" s="1319"/>
      <c r="S54" s="1319"/>
      <c r="T54" s="1319"/>
      <c r="U54" s="1319"/>
      <c r="V54" s="1319"/>
      <c r="W54" s="1319"/>
      <c r="X54" s="1319"/>
      <c r="Y54" s="1319"/>
      <c r="Z54" s="1319"/>
    </row>
    <row r="55" spans="1:26" ht="18.75" customHeight="1">
      <c r="A55" s="1319"/>
      <c r="B55" s="1344"/>
      <c r="C55" s="1319"/>
      <c r="D55" s="1344"/>
      <c r="E55" s="1319"/>
      <c r="F55" s="1319"/>
      <c r="G55" s="1319"/>
      <c r="H55" s="1319"/>
      <c r="I55" s="1319"/>
      <c r="J55" s="1319"/>
      <c r="K55" s="1319"/>
      <c r="L55" s="1319"/>
      <c r="M55" s="1319"/>
      <c r="N55" s="1319"/>
      <c r="O55" s="1319"/>
      <c r="P55" s="1319"/>
      <c r="Q55" s="1319"/>
      <c r="R55" s="1319"/>
      <c r="S55" s="1319"/>
      <c r="T55" s="1319"/>
      <c r="U55" s="1319"/>
      <c r="V55" s="1319"/>
      <c r="W55" s="1319"/>
      <c r="X55" s="1319"/>
      <c r="Y55" s="1319"/>
      <c r="Z55" s="1319"/>
    </row>
    <row r="56" spans="1:26" ht="18.75" customHeight="1">
      <c r="A56" s="1319"/>
      <c r="B56" s="1344"/>
      <c r="C56" s="1319"/>
      <c r="D56" s="1344"/>
      <c r="E56" s="1319"/>
      <c r="F56" s="1319"/>
      <c r="G56" s="1319"/>
      <c r="H56" s="1319"/>
      <c r="I56" s="1319"/>
      <c r="J56" s="1319"/>
      <c r="K56" s="1319"/>
      <c r="L56" s="1319"/>
      <c r="M56" s="1319"/>
      <c r="N56" s="1319"/>
      <c r="O56" s="1319"/>
      <c r="P56" s="1319"/>
      <c r="Q56" s="1319"/>
      <c r="R56" s="1319"/>
      <c r="S56" s="1319"/>
      <c r="T56" s="1319"/>
      <c r="U56" s="1319"/>
      <c r="V56" s="1319"/>
      <c r="W56" s="1319"/>
      <c r="X56" s="1319"/>
      <c r="Y56" s="1319"/>
      <c r="Z56" s="1319"/>
    </row>
    <row r="57" spans="1:26" ht="18.75" customHeight="1">
      <c r="A57" s="1319"/>
      <c r="B57" s="1344"/>
      <c r="C57" s="1319"/>
      <c r="D57" s="1344"/>
      <c r="E57" s="1319"/>
      <c r="F57" s="1319"/>
      <c r="G57" s="1319"/>
      <c r="H57" s="1319"/>
      <c r="I57" s="1319"/>
      <c r="J57" s="1319"/>
      <c r="K57" s="1319"/>
      <c r="L57" s="1319"/>
      <c r="M57" s="1319"/>
      <c r="N57" s="1319"/>
      <c r="O57" s="1319"/>
      <c r="P57" s="1319"/>
      <c r="Q57" s="1319"/>
      <c r="R57" s="1319"/>
      <c r="S57" s="1319"/>
      <c r="T57" s="1319"/>
      <c r="U57" s="1319"/>
      <c r="V57" s="1319"/>
      <c r="W57" s="1319"/>
      <c r="X57" s="1319"/>
      <c r="Y57" s="1319"/>
      <c r="Z57" s="1319"/>
    </row>
    <row r="58" spans="1:26" ht="18.75" customHeight="1">
      <c r="A58" s="1319"/>
      <c r="B58" s="1344"/>
      <c r="C58" s="1319"/>
      <c r="D58" s="1344"/>
      <c r="E58" s="1319"/>
      <c r="F58" s="1319"/>
      <c r="G58" s="1319"/>
      <c r="H58" s="1319"/>
      <c r="I58" s="1319"/>
      <c r="J58" s="1319"/>
      <c r="K58" s="1319"/>
      <c r="L58" s="1319"/>
      <c r="M58" s="1319"/>
      <c r="N58" s="1319"/>
      <c r="O58" s="1319"/>
      <c r="P58" s="1319"/>
      <c r="Q58" s="1319"/>
      <c r="R58" s="1319"/>
      <c r="S58" s="1319"/>
      <c r="T58" s="1319"/>
      <c r="U58" s="1319"/>
      <c r="V58" s="1319"/>
      <c r="W58" s="1319"/>
      <c r="X58" s="1319"/>
      <c r="Y58" s="1319"/>
      <c r="Z58" s="1319"/>
    </row>
    <row r="59" spans="1:26" ht="18.75" customHeight="1">
      <c r="A59" s="1319"/>
      <c r="B59" s="1344"/>
      <c r="C59" s="1319"/>
      <c r="D59" s="1344"/>
      <c r="E59" s="1319"/>
      <c r="F59" s="1319"/>
      <c r="G59" s="1319"/>
      <c r="H59" s="1319"/>
      <c r="I59" s="1319"/>
      <c r="J59" s="1319"/>
      <c r="K59" s="1319"/>
      <c r="L59" s="1319"/>
      <c r="M59" s="1319"/>
      <c r="N59" s="1319"/>
      <c r="O59" s="1319"/>
      <c r="P59" s="1319"/>
      <c r="Q59" s="1319"/>
      <c r="R59" s="1319"/>
      <c r="S59" s="1319"/>
      <c r="T59" s="1319"/>
      <c r="U59" s="1319"/>
      <c r="V59" s="1319"/>
      <c r="W59" s="1319"/>
      <c r="X59" s="1319"/>
      <c r="Y59" s="1319"/>
      <c r="Z59" s="1319"/>
    </row>
    <row r="60" spans="1:26" ht="18.75" customHeight="1">
      <c r="A60" s="1319"/>
      <c r="B60" s="1344"/>
      <c r="C60" s="1319"/>
      <c r="D60" s="1344"/>
      <c r="E60" s="1319"/>
      <c r="F60" s="1319"/>
      <c r="G60" s="1319"/>
      <c r="H60" s="1319"/>
      <c r="I60" s="1319"/>
      <c r="J60" s="1319"/>
      <c r="K60" s="1319"/>
      <c r="L60" s="1319"/>
      <c r="M60" s="1319"/>
      <c r="N60" s="1319"/>
      <c r="O60" s="1319"/>
      <c r="P60" s="1319"/>
      <c r="Q60" s="1319"/>
      <c r="R60" s="1319"/>
      <c r="S60" s="1319"/>
      <c r="T60" s="1319"/>
      <c r="U60" s="1319"/>
      <c r="V60" s="1319"/>
      <c r="W60" s="1319"/>
      <c r="X60" s="1319"/>
      <c r="Y60" s="1319"/>
      <c r="Z60" s="1319"/>
    </row>
    <row r="61" spans="1:26" ht="18.75" customHeight="1">
      <c r="A61" s="1319"/>
      <c r="B61" s="1344"/>
      <c r="C61" s="1319"/>
      <c r="D61" s="1344"/>
      <c r="E61" s="1319"/>
      <c r="F61" s="1319"/>
      <c r="G61" s="1319"/>
      <c r="H61" s="1319"/>
      <c r="I61" s="1319"/>
      <c r="J61" s="1319"/>
      <c r="K61" s="1319"/>
      <c r="L61" s="1319"/>
      <c r="M61" s="1319"/>
      <c r="N61" s="1319"/>
      <c r="O61" s="1319"/>
      <c r="P61" s="1319"/>
      <c r="Q61" s="1319"/>
      <c r="R61" s="1319"/>
      <c r="S61" s="1319"/>
      <c r="T61" s="1319"/>
      <c r="U61" s="1319"/>
      <c r="V61" s="1319"/>
      <c r="W61" s="1319"/>
      <c r="X61" s="1319"/>
      <c r="Y61" s="1319"/>
      <c r="Z61" s="1319"/>
    </row>
    <row r="62" spans="1:26" ht="18.75" customHeight="1">
      <c r="A62" s="1319"/>
      <c r="B62" s="1344"/>
      <c r="C62" s="1319"/>
      <c r="D62" s="1344"/>
      <c r="E62" s="1319"/>
      <c r="F62" s="1319"/>
      <c r="G62" s="1319"/>
      <c r="H62" s="1319"/>
      <c r="I62" s="1319"/>
      <c r="J62" s="1319"/>
      <c r="K62" s="1319"/>
      <c r="L62" s="1319"/>
      <c r="M62" s="1319"/>
      <c r="N62" s="1319"/>
      <c r="O62" s="1319"/>
      <c r="P62" s="1319"/>
      <c r="Q62" s="1319"/>
      <c r="R62" s="1319"/>
      <c r="S62" s="1319"/>
      <c r="T62" s="1319"/>
      <c r="U62" s="1319"/>
      <c r="V62" s="1319"/>
      <c r="W62" s="1319"/>
      <c r="X62" s="1319"/>
      <c r="Y62" s="1319"/>
      <c r="Z62" s="1319"/>
    </row>
    <row r="63" spans="1:26" ht="18.75" customHeight="1">
      <c r="A63" s="1319"/>
      <c r="B63" s="1344"/>
      <c r="C63" s="1319"/>
      <c r="D63" s="1344"/>
      <c r="E63" s="1319"/>
      <c r="F63" s="1319"/>
      <c r="G63" s="1319"/>
      <c r="H63" s="1319"/>
      <c r="I63" s="1319"/>
      <c r="J63" s="1319"/>
      <c r="K63" s="1319"/>
      <c r="L63" s="1319"/>
      <c r="M63" s="1319"/>
      <c r="N63" s="1319"/>
      <c r="O63" s="1319"/>
      <c r="P63" s="1319"/>
      <c r="Q63" s="1319"/>
      <c r="R63" s="1319"/>
      <c r="S63" s="1319"/>
      <c r="T63" s="1319"/>
      <c r="U63" s="1319"/>
      <c r="V63" s="1319"/>
      <c r="W63" s="1319"/>
      <c r="X63" s="1319"/>
      <c r="Y63" s="1319"/>
      <c r="Z63" s="1319"/>
    </row>
    <row r="64" spans="1:26" ht="18.75" customHeight="1">
      <c r="A64" s="1319"/>
      <c r="B64" s="1344"/>
      <c r="C64" s="1319"/>
      <c r="D64" s="1344"/>
      <c r="E64" s="1319"/>
      <c r="F64" s="1319"/>
      <c r="G64" s="1319"/>
      <c r="H64" s="1319"/>
      <c r="I64" s="1319"/>
      <c r="J64" s="1319"/>
      <c r="K64" s="1319"/>
      <c r="L64" s="1319"/>
      <c r="M64" s="1319"/>
      <c r="N64" s="1319"/>
      <c r="O64" s="1319"/>
      <c r="P64" s="1319"/>
      <c r="Q64" s="1319"/>
      <c r="R64" s="1319"/>
      <c r="S64" s="1319"/>
      <c r="T64" s="1319"/>
      <c r="U64" s="1319"/>
      <c r="V64" s="1319"/>
      <c r="W64" s="1319"/>
      <c r="X64" s="1319"/>
      <c r="Y64" s="1319"/>
      <c r="Z64" s="1319"/>
    </row>
    <row r="65" spans="1:26" ht="18.75" customHeight="1">
      <c r="A65" s="1319"/>
      <c r="B65" s="1344"/>
      <c r="C65" s="1319"/>
      <c r="D65" s="1344"/>
      <c r="E65" s="1319"/>
      <c r="F65" s="1319"/>
      <c r="G65" s="1319"/>
      <c r="H65" s="1319"/>
      <c r="I65" s="1319"/>
      <c r="J65" s="1319"/>
      <c r="K65" s="1319"/>
      <c r="L65" s="1319"/>
      <c r="M65" s="1319"/>
      <c r="N65" s="1319"/>
      <c r="O65" s="1319"/>
      <c r="P65" s="1319"/>
      <c r="Q65" s="1319"/>
      <c r="R65" s="1319"/>
      <c r="S65" s="1319"/>
      <c r="T65" s="1319"/>
      <c r="U65" s="1319"/>
      <c r="V65" s="1319"/>
      <c r="W65" s="1319"/>
      <c r="X65" s="1319"/>
      <c r="Y65" s="1319"/>
      <c r="Z65" s="1319"/>
    </row>
    <row r="66" spans="1:26" ht="18.75" customHeight="1">
      <c r="A66" s="1319"/>
      <c r="B66" s="1344"/>
      <c r="C66" s="1319"/>
      <c r="D66" s="1344"/>
      <c r="E66" s="1319"/>
      <c r="F66" s="1319"/>
      <c r="G66" s="1319"/>
      <c r="H66" s="1319"/>
      <c r="I66" s="1319"/>
      <c r="J66" s="1319"/>
      <c r="K66" s="1319"/>
      <c r="L66" s="1319"/>
      <c r="M66" s="1319"/>
      <c r="N66" s="1319"/>
      <c r="O66" s="1319"/>
      <c r="P66" s="1319"/>
      <c r="Q66" s="1319"/>
      <c r="R66" s="1319"/>
      <c r="S66" s="1319"/>
      <c r="T66" s="1319"/>
      <c r="U66" s="1319"/>
      <c r="V66" s="1319"/>
      <c r="W66" s="1319"/>
      <c r="X66" s="1319"/>
      <c r="Y66" s="1319"/>
      <c r="Z66" s="1319"/>
    </row>
    <row r="67" spans="1:26" ht="18.75" customHeight="1">
      <c r="A67" s="1319"/>
      <c r="B67" s="1344"/>
      <c r="C67" s="1319"/>
      <c r="D67" s="1344"/>
      <c r="E67" s="1319"/>
      <c r="F67" s="1319"/>
      <c r="G67" s="1319"/>
      <c r="H67" s="1319"/>
      <c r="I67" s="1319"/>
      <c r="J67" s="1319"/>
      <c r="K67" s="1319"/>
      <c r="L67" s="1319"/>
      <c r="M67" s="1319"/>
      <c r="N67" s="1319"/>
      <c r="O67" s="1319"/>
      <c r="P67" s="1319"/>
      <c r="Q67" s="1319"/>
      <c r="R67" s="1319"/>
      <c r="S67" s="1319"/>
      <c r="T67" s="1319"/>
      <c r="U67" s="1319"/>
      <c r="V67" s="1319"/>
      <c r="W67" s="1319"/>
      <c r="X67" s="1319"/>
      <c r="Y67" s="1319"/>
      <c r="Z67" s="1319"/>
    </row>
    <row r="68" spans="1:26" ht="18.75" customHeight="1">
      <c r="A68" s="1319"/>
      <c r="B68" s="1344"/>
      <c r="C68" s="1319"/>
      <c r="D68" s="1344"/>
      <c r="E68" s="1319"/>
      <c r="F68" s="1319"/>
      <c r="G68" s="1319"/>
      <c r="H68" s="1319"/>
      <c r="I68" s="1319"/>
      <c r="J68" s="1319"/>
      <c r="K68" s="1319"/>
      <c r="L68" s="1319"/>
      <c r="M68" s="1319"/>
      <c r="N68" s="1319"/>
      <c r="O68" s="1319"/>
      <c r="P68" s="1319"/>
      <c r="Q68" s="1319"/>
      <c r="R68" s="1319"/>
      <c r="S68" s="1319"/>
      <c r="T68" s="1319"/>
      <c r="U68" s="1319"/>
      <c r="V68" s="1319"/>
      <c r="W68" s="1319"/>
      <c r="X68" s="1319"/>
      <c r="Y68" s="1319"/>
      <c r="Z68" s="1319"/>
    </row>
    <row r="69" spans="1:26" ht="18.75" customHeight="1">
      <c r="A69" s="1319"/>
      <c r="B69" s="1344"/>
      <c r="C69" s="1319"/>
      <c r="D69" s="1344"/>
      <c r="E69" s="1319"/>
      <c r="F69" s="1319"/>
      <c r="G69" s="1319"/>
      <c r="H69" s="1319"/>
      <c r="I69" s="1319"/>
      <c r="J69" s="1319"/>
      <c r="K69" s="1319"/>
      <c r="L69" s="1319"/>
      <c r="M69" s="1319"/>
      <c r="N69" s="1319"/>
      <c r="O69" s="1319"/>
      <c r="P69" s="1319"/>
      <c r="Q69" s="1319"/>
      <c r="R69" s="1319"/>
      <c r="S69" s="1319"/>
      <c r="T69" s="1319"/>
      <c r="U69" s="1319"/>
      <c r="V69" s="1319"/>
      <c r="W69" s="1319"/>
      <c r="X69" s="1319"/>
      <c r="Y69" s="1319"/>
      <c r="Z69" s="1319"/>
    </row>
    <row r="70" spans="1:26" ht="18.75" customHeight="1">
      <c r="A70" s="1319"/>
      <c r="B70" s="1344"/>
      <c r="C70" s="1319"/>
      <c r="D70" s="1344"/>
      <c r="E70" s="1319"/>
      <c r="F70" s="1319"/>
      <c r="G70" s="1319"/>
      <c r="H70" s="1319"/>
      <c r="I70" s="1319"/>
      <c r="J70" s="1319"/>
      <c r="K70" s="1319"/>
      <c r="L70" s="1319"/>
      <c r="M70" s="1319"/>
      <c r="N70" s="1319"/>
      <c r="O70" s="1319"/>
      <c r="P70" s="1319"/>
      <c r="Q70" s="1319"/>
      <c r="R70" s="1319"/>
      <c r="S70" s="1319"/>
      <c r="T70" s="1319"/>
      <c r="U70" s="1319"/>
      <c r="V70" s="1319"/>
      <c r="W70" s="1319"/>
      <c r="X70" s="1319"/>
      <c r="Y70" s="1319"/>
      <c r="Z70" s="1319"/>
    </row>
    <row r="71" spans="1:26" ht="18.75" customHeight="1">
      <c r="A71" s="1319"/>
      <c r="B71" s="1344"/>
      <c r="C71" s="1319"/>
      <c r="D71" s="1344"/>
      <c r="E71" s="1319"/>
      <c r="F71" s="1319"/>
      <c r="G71" s="1319"/>
      <c r="H71" s="1319"/>
      <c r="I71" s="1319"/>
      <c r="J71" s="1319"/>
      <c r="K71" s="1319"/>
      <c r="L71" s="1319"/>
      <c r="M71" s="1319"/>
      <c r="N71" s="1319"/>
      <c r="O71" s="1319"/>
      <c r="P71" s="1319"/>
      <c r="Q71" s="1319"/>
      <c r="R71" s="1319"/>
      <c r="S71" s="1319"/>
      <c r="T71" s="1319"/>
      <c r="U71" s="1319"/>
      <c r="V71" s="1319"/>
      <c r="W71" s="1319"/>
      <c r="X71" s="1319"/>
      <c r="Y71" s="1319"/>
      <c r="Z71" s="1319"/>
    </row>
    <row r="72" spans="1:26" ht="18.75" customHeight="1">
      <c r="A72" s="1319"/>
      <c r="B72" s="1344"/>
      <c r="C72" s="1319"/>
      <c r="D72" s="1344"/>
      <c r="E72" s="1319"/>
      <c r="F72" s="1319"/>
      <c r="G72" s="1319"/>
      <c r="H72" s="1319"/>
      <c r="I72" s="1319"/>
      <c r="J72" s="1319"/>
      <c r="K72" s="1319"/>
      <c r="L72" s="1319"/>
      <c r="M72" s="1319"/>
      <c r="N72" s="1319"/>
      <c r="O72" s="1319"/>
      <c r="P72" s="1319"/>
      <c r="Q72" s="1319"/>
      <c r="R72" s="1319"/>
      <c r="S72" s="1319"/>
      <c r="T72" s="1319"/>
      <c r="U72" s="1319"/>
      <c r="V72" s="1319"/>
      <c r="W72" s="1319"/>
      <c r="X72" s="1319"/>
      <c r="Y72" s="1319"/>
      <c r="Z72" s="1319"/>
    </row>
    <row r="73" spans="1:26" ht="18.75" customHeight="1">
      <c r="A73" s="1319"/>
      <c r="B73" s="1344"/>
      <c r="C73" s="1319"/>
      <c r="D73" s="1344"/>
      <c r="E73" s="1319"/>
      <c r="F73" s="1319"/>
      <c r="G73" s="1319"/>
      <c r="H73" s="1319"/>
      <c r="I73" s="1319"/>
      <c r="J73" s="1319"/>
      <c r="K73" s="1319"/>
      <c r="L73" s="1319"/>
      <c r="M73" s="1319"/>
      <c r="N73" s="1319"/>
      <c r="O73" s="1319"/>
      <c r="P73" s="1319"/>
      <c r="Q73" s="1319"/>
      <c r="R73" s="1319"/>
      <c r="S73" s="1319"/>
      <c r="T73" s="1319"/>
      <c r="U73" s="1319"/>
      <c r="V73" s="1319"/>
      <c r="W73" s="1319"/>
      <c r="X73" s="1319"/>
      <c r="Y73" s="1319"/>
      <c r="Z73" s="1319"/>
    </row>
    <row r="74" spans="1:26" ht="18.75" customHeight="1">
      <c r="A74" s="1319"/>
      <c r="B74" s="1344"/>
      <c r="C74" s="1319"/>
      <c r="D74" s="1344"/>
      <c r="E74" s="1319"/>
      <c r="F74" s="1319"/>
      <c r="G74" s="1319"/>
      <c r="H74" s="1319"/>
      <c r="I74" s="1319"/>
      <c r="J74" s="1319"/>
      <c r="K74" s="1319"/>
      <c r="L74" s="1319"/>
      <c r="M74" s="1319"/>
      <c r="N74" s="1319"/>
      <c r="O74" s="1319"/>
      <c r="P74" s="1319"/>
      <c r="Q74" s="1319"/>
      <c r="R74" s="1319"/>
      <c r="S74" s="1319"/>
      <c r="T74" s="1319"/>
      <c r="U74" s="1319"/>
      <c r="V74" s="1319"/>
      <c r="W74" s="1319"/>
      <c r="X74" s="1319"/>
      <c r="Y74" s="1319"/>
      <c r="Z74" s="1319"/>
    </row>
    <row r="75" spans="1:26" ht="18.75" customHeight="1">
      <c r="A75" s="1319"/>
      <c r="B75" s="1344"/>
      <c r="C75" s="1319"/>
      <c r="D75" s="1344"/>
      <c r="E75" s="1319"/>
      <c r="F75" s="1319"/>
      <c r="G75" s="1319"/>
      <c r="H75" s="1319"/>
      <c r="I75" s="1319"/>
      <c r="J75" s="1319"/>
      <c r="K75" s="1319"/>
      <c r="L75" s="1319"/>
      <c r="M75" s="1319"/>
      <c r="N75" s="1319"/>
      <c r="O75" s="1319"/>
      <c r="P75" s="1319"/>
      <c r="Q75" s="1319"/>
      <c r="R75" s="1319"/>
      <c r="S75" s="1319"/>
      <c r="T75" s="1319"/>
      <c r="U75" s="1319"/>
      <c r="V75" s="1319"/>
      <c r="W75" s="1319"/>
      <c r="X75" s="1319"/>
      <c r="Y75" s="1319"/>
      <c r="Z75" s="1319"/>
    </row>
    <row r="76" spans="1:26" ht="18.75" customHeight="1">
      <c r="A76" s="1319"/>
      <c r="B76" s="1344"/>
      <c r="C76" s="1319"/>
      <c r="D76" s="1344"/>
      <c r="E76" s="1319"/>
      <c r="F76" s="1319"/>
      <c r="G76" s="1319"/>
      <c r="H76" s="1319"/>
      <c r="I76" s="1319"/>
      <c r="J76" s="1319"/>
      <c r="K76" s="1319"/>
      <c r="L76" s="1319"/>
      <c r="M76" s="1319"/>
      <c r="N76" s="1319"/>
      <c r="O76" s="1319"/>
      <c r="P76" s="1319"/>
      <c r="Q76" s="1319"/>
      <c r="R76" s="1319"/>
      <c r="S76" s="1319"/>
      <c r="T76" s="1319"/>
      <c r="U76" s="1319"/>
      <c r="V76" s="1319"/>
      <c r="W76" s="1319"/>
      <c r="X76" s="1319"/>
      <c r="Y76" s="1319"/>
      <c r="Z76" s="1319"/>
    </row>
    <row r="77" spans="1:26" ht="18.75" customHeight="1">
      <c r="A77" s="1319"/>
      <c r="B77" s="1344"/>
      <c r="C77" s="1319"/>
      <c r="D77" s="1344"/>
      <c r="E77" s="1319"/>
      <c r="F77" s="1319"/>
      <c r="G77" s="1319"/>
      <c r="H77" s="1319"/>
      <c r="I77" s="1319"/>
      <c r="J77" s="1319"/>
      <c r="K77" s="1319"/>
      <c r="L77" s="1319"/>
      <c r="M77" s="1319"/>
      <c r="N77" s="1319"/>
      <c r="O77" s="1319"/>
      <c r="P77" s="1319"/>
      <c r="Q77" s="1319"/>
      <c r="R77" s="1319"/>
      <c r="S77" s="1319"/>
      <c r="T77" s="1319"/>
      <c r="U77" s="1319"/>
      <c r="V77" s="1319"/>
      <c r="W77" s="1319"/>
      <c r="X77" s="1319"/>
      <c r="Y77" s="1319"/>
      <c r="Z77" s="1319"/>
    </row>
    <row r="78" spans="1:26" ht="18.75" customHeight="1">
      <c r="A78" s="1319"/>
      <c r="B78" s="1344"/>
      <c r="C78" s="1319"/>
      <c r="D78" s="1344"/>
      <c r="E78" s="1319"/>
      <c r="F78" s="1319"/>
      <c r="G78" s="1319"/>
      <c r="H78" s="1319"/>
      <c r="I78" s="1319"/>
      <c r="J78" s="1319"/>
      <c r="K78" s="1319"/>
      <c r="L78" s="1319"/>
      <c r="M78" s="1319"/>
      <c r="N78" s="1319"/>
      <c r="O78" s="1319"/>
      <c r="P78" s="1319"/>
      <c r="Q78" s="1319"/>
      <c r="R78" s="1319"/>
      <c r="S78" s="1319"/>
      <c r="T78" s="1319"/>
      <c r="U78" s="1319"/>
      <c r="V78" s="1319"/>
      <c r="W78" s="1319"/>
      <c r="X78" s="1319"/>
      <c r="Y78" s="1319"/>
      <c r="Z78" s="1319"/>
    </row>
    <row r="79" spans="1:26" ht="18.75" customHeight="1">
      <c r="A79" s="1319"/>
      <c r="B79" s="1344"/>
      <c r="C79" s="1319"/>
      <c r="D79" s="1344"/>
      <c r="E79" s="1319"/>
      <c r="F79" s="1319"/>
      <c r="G79" s="1319"/>
      <c r="H79" s="1319"/>
      <c r="I79" s="1319"/>
      <c r="J79" s="1319"/>
      <c r="K79" s="1319"/>
      <c r="L79" s="1319"/>
      <c r="M79" s="1319"/>
      <c r="N79" s="1319"/>
      <c r="O79" s="1319"/>
      <c r="P79" s="1319"/>
      <c r="Q79" s="1319"/>
      <c r="R79" s="1319"/>
      <c r="S79" s="1319"/>
      <c r="T79" s="1319"/>
      <c r="U79" s="1319"/>
      <c r="V79" s="1319"/>
      <c r="W79" s="1319"/>
      <c r="X79" s="1319"/>
      <c r="Y79" s="1319"/>
      <c r="Z79" s="1319"/>
    </row>
    <row r="80" spans="1:26" ht="18.75" customHeight="1">
      <c r="A80" s="1319"/>
      <c r="B80" s="1344"/>
      <c r="C80" s="1319"/>
      <c r="D80" s="1344"/>
      <c r="E80" s="1319"/>
      <c r="F80" s="1319"/>
      <c r="G80" s="1319"/>
      <c r="H80" s="1319"/>
      <c r="I80" s="1319"/>
      <c r="J80" s="1319"/>
      <c r="K80" s="1319"/>
      <c r="L80" s="1319"/>
      <c r="M80" s="1319"/>
      <c r="N80" s="1319"/>
      <c r="O80" s="1319"/>
      <c r="P80" s="1319"/>
      <c r="Q80" s="1319"/>
      <c r="R80" s="1319"/>
      <c r="S80" s="1319"/>
      <c r="T80" s="1319"/>
      <c r="U80" s="1319"/>
      <c r="V80" s="1319"/>
      <c r="W80" s="1319"/>
      <c r="X80" s="1319"/>
      <c r="Y80" s="1319"/>
      <c r="Z80" s="1319"/>
    </row>
    <row r="81" spans="1:26" ht="18.75" customHeight="1">
      <c r="A81" s="1319"/>
      <c r="B81" s="1344"/>
      <c r="C81" s="1319"/>
      <c r="D81" s="1344"/>
      <c r="E81" s="1319"/>
      <c r="F81" s="1319"/>
      <c r="G81" s="1319"/>
      <c r="H81" s="1319"/>
      <c r="I81" s="1319"/>
      <c r="J81" s="1319"/>
      <c r="K81" s="1319"/>
      <c r="L81" s="1319"/>
      <c r="M81" s="1319"/>
      <c r="N81" s="1319"/>
      <c r="O81" s="1319"/>
      <c r="P81" s="1319"/>
      <c r="Q81" s="1319"/>
      <c r="R81" s="1319"/>
      <c r="S81" s="1319"/>
      <c r="T81" s="1319"/>
      <c r="U81" s="1319"/>
      <c r="V81" s="1319"/>
      <c r="W81" s="1319"/>
      <c r="X81" s="1319"/>
      <c r="Y81" s="1319"/>
      <c r="Z81" s="1319"/>
    </row>
    <row r="82" spans="1:26" ht="18.75" customHeight="1">
      <c r="A82" s="1319"/>
      <c r="B82" s="1344"/>
      <c r="C82" s="1319"/>
      <c r="D82" s="1344"/>
      <c r="E82" s="1319"/>
      <c r="F82" s="1319"/>
      <c r="G82" s="1319"/>
      <c r="H82" s="1319"/>
      <c r="I82" s="1319"/>
      <c r="J82" s="1319"/>
      <c r="K82" s="1319"/>
      <c r="L82" s="1319"/>
      <c r="M82" s="1319"/>
      <c r="N82" s="1319"/>
      <c r="O82" s="1319"/>
      <c r="P82" s="1319"/>
      <c r="Q82" s="1319"/>
      <c r="R82" s="1319"/>
      <c r="S82" s="1319"/>
      <c r="T82" s="1319"/>
      <c r="U82" s="1319"/>
      <c r="V82" s="1319"/>
      <c r="W82" s="1319"/>
      <c r="X82" s="1319"/>
      <c r="Y82" s="1319"/>
      <c r="Z82" s="1319"/>
    </row>
    <row r="83" spans="1:26" ht="18.75" customHeight="1">
      <c r="A83" s="1319"/>
      <c r="B83" s="1344"/>
      <c r="C83" s="1319"/>
      <c r="D83" s="1344"/>
      <c r="E83" s="1319"/>
      <c r="F83" s="1319"/>
      <c r="G83" s="1319"/>
      <c r="H83" s="1319"/>
      <c r="I83" s="1319"/>
      <c r="J83" s="1319"/>
      <c r="K83" s="1319"/>
      <c r="L83" s="1319"/>
      <c r="M83" s="1319"/>
      <c r="N83" s="1319"/>
      <c r="O83" s="1319"/>
      <c r="P83" s="1319"/>
      <c r="Q83" s="1319"/>
      <c r="R83" s="1319"/>
      <c r="S83" s="1319"/>
      <c r="T83" s="1319"/>
      <c r="U83" s="1319"/>
      <c r="V83" s="1319"/>
      <c r="W83" s="1319"/>
      <c r="X83" s="1319"/>
      <c r="Y83" s="1319"/>
      <c r="Z83" s="1319"/>
    </row>
    <row r="84" spans="1:26" ht="18.75" customHeight="1">
      <c r="A84" s="1319"/>
      <c r="B84" s="1344"/>
      <c r="C84" s="1319"/>
      <c r="D84" s="1344"/>
      <c r="E84" s="1319"/>
      <c r="F84" s="1319"/>
      <c r="G84" s="1319"/>
      <c r="H84" s="1319"/>
      <c r="I84" s="1319"/>
      <c r="J84" s="1319"/>
      <c r="K84" s="1319"/>
      <c r="L84" s="1319"/>
      <c r="M84" s="1319"/>
      <c r="N84" s="1319"/>
      <c r="O84" s="1319"/>
      <c r="P84" s="1319"/>
      <c r="Q84" s="1319"/>
      <c r="R84" s="1319"/>
      <c r="S84" s="1319"/>
      <c r="T84" s="1319"/>
      <c r="U84" s="1319"/>
      <c r="V84" s="1319"/>
      <c r="W84" s="1319"/>
      <c r="X84" s="1319"/>
      <c r="Y84" s="1319"/>
      <c r="Z84" s="1319"/>
    </row>
    <row r="85" spans="1:26" ht="18.75" customHeight="1">
      <c r="A85" s="1319"/>
      <c r="B85" s="1344"/>
      <c r="C85" s="1319"/>
      <c r="D85" s="1344"/>
      <c r="E85" s="1319"/>
      <c r="F85" s="1319"/>
      <c r="G85" s="1319"/>
      <c r="H85" s="1319"/>
      <c r="I85" s="1319"/>
      <c r="J85" s="1319"/>
      <c r="K85" s="1319"/>
      <c r="L85" s="1319"/>
      <c r="M85" s="1319"/>
      <c r="N85" s="1319"/>
      <c r="O85" s="1319"/>
      <c r="P85" s="1319"/>
      <c r="Q85" s="1319"/>
      <c r="R85" s="1319"/>
      <c r="S85" s="1319"/>
      <c r="T85" s="1319"/>
      <c r="U85" s="1319"/>
      <c r="V85" s="1319"/>
      <c r="W85" s="1319"/>
      <c r="X85" s="1319"/>
      <c r="Y85" s="1319"/>
      <c r="Z85" s="1319"/>
    </row>
    <row r="86" spans="1:26" ht="18.75" customHeight="1">
      <c r="A86" s="1319"/>
      <c r="B86" s="1344"/>
      <c r="C86" s="1319"/>
      <c r="D86" s="1344"/>
      <c r="E86" s="1319"/>
      <c r="F86" s="1319"/>
      <c r="G86" s="1319"/>
      <c r="H86" s="1319"/>
      <c r="I86" s="1319"/>
      <c r="J86" s="1319"/>
      <c r="K86" s="1319"/>
      <c r="L86" s="1319"/>
      <c r="M86" s="1319"/>
      <c r="N86" s="1319"/>
      <c r="O86" s="1319"/>
      <c r="P86" s="1319"/>
      <c r="Q86" s="1319"/>
      <c r="R86" s="1319"/>
      <c r="S86" s="1319"/>
      <c r="T86" s="1319"/>
      <c r="U86" s="1319"/>
      <c r="V86" s="1319"/>
      <c r="W86" s="1319"/>
      <c r="X86" s="1319"/>
      <c r="Y86" s="1319"/>
      <c r="Z86" s="1319"/>
    </row>
    <row r="87" spans="1:26" ht="18.75" customHeight="1">
      <c r="A87" s="1319"/>
      <c r="B87" s="1344"/>
      <c r="C87" s="1319"/>
      <c r="D87" s="1344"/>
      <c r="E87" s="1319"/>
      <c r="F87" s="1319"/>
      <c r="G87" s="1319"/>
      <c r="H87" s="1319"/>
      <c r="I87" s="1319"/>
      <c r="J87" s="1319"/>
      <c r="K87" s="1319"/>
      <c r="L87" s="1319"/>
      <c r="M87" s="1319"/>
      <c r="N87" s="1319"/>
      <c r="O87" s="1319"/>
      <c r="P87" s="1319"/>
      <c r="Q87" s="1319"/>
      <c r="R87" s="1319"/>
      <c r="S87" s="1319"/>
      <c r="T87" s="1319"/>
      <c r="U87" s="1319"/>
      <c r="V87" s="1319"/>
      <c r="W87" s="1319"/>
      <c r="X87" s="1319"/>
      <c r="Y87" s="1319"/>
      <c r="Z87" s="1319"/>
    </row>
    <row r="88" spans="1:26" ht="18.75" customHeight="1">
      <c r="A88" s="1319"/>
      <c r="B88" s="1344"/>
      <c r="C88" s="1319"/>
      <c r="D88" s="1344"/>
      <c r="E88" s="1319"/>
      <c r="F88" s="1319"/>
      <c r="G88" s="1319"/>
      <c r="H88" s="1319"/>
      <c r="I88" s="1319"/>
      <c r="J88" s="1319"/>
      <c r="K88" s="1319"/>
      <c r="L88" s="1319"/>
      <c r="M88" s="1319"/>
      <c r="N88" s="1319"/>
      <c r="O88" s="1319"/>
      <c r="P88" s="1319"/>
      <c r="Q88" s="1319"/>
      <c r="R88" s="1319"/>
      <c r="S88" s="1319"/>
      <c r="T88" s="1319"/>
      <c r="U88" s="1319"/>
      <c r="V88" s="1319"/>
      <c r="W88" s="1319"/>
      <c r="X88" s="1319"/>
      <c r="Y88" s="1319"/>
      <c r="Z88" s="1319"/>
    </row>
    <row r="89" spans="1:26" ht="18.75" customHeight="1">
      <c r="A89" s="1319"/>
      <c r="B89" s="1344"/>
      <c r="C89" s="1319"/>
      <c r="D89" s="1344"/>
      <c r="E89" s="1319"/>
      <c r="F89" s="1319"/>
      <c r="G89" s="1319"/>
      <c r="H89" s="1319"/>
      <c r="I89" s="1319"/>
      <c r="J89" s="1319"/>
      <c r="K89" s="1319"/>
      <c r="L89" s="1319"/>
      <c r="M89" s="1319"/>
      <c r="N89" s="1319"/>
      <c r="O89" s="1319"/>
      <c r="P89" s="1319"/>
      <c r="Q89" s="1319"/>
      <c r="R89" s="1319"/>
      <c r="S89" s="1319"/>
      <c r="T89" s="1319"/>
      <c r="U89" s="1319"/>
      <c r="V89" s="1319"/>
      <c r="W89" s="1319"/>
      <c r="X89" s="1319"/>
      <c r="Y89" s="1319"/>
      <c r="Z89" s="1319"/>
    </row>
    <row r="90" spans="1:26" ht="18.75" customHeight="1">
      <c r="A90" s="1319"/>
      <c r="B90" s="1344"/>
      <c r="C90" s="1319"/>
      <c r="D90" s="1344"/>
      <c r="E90" s="1319"/>
      <c r="F90" s="1319"/>
      <c r="G90" s="1319"/>
      <c r="H90" s="1319"/>
      <c r="I90" s="1319"/>
      <c r="J90" s="1319"/>
      <c r="K90" s="1319"/>
      <c r="L90" s="1319"/>
      <c r="M90" s="1319"/>
      <c r="N90" s="1319"/>
      <c r="O90" s="1319"/>
      <c r="P90" s="1319"/>
      <c r="Q90" s="1319"/>
      <c r="R90" s="1319"/>
      <c r="S90" s="1319"/>
      <c r="T90" s="1319"/>
      <c r="U90" s="1319"/>
      <c r="V90" s="1319"/>
      <c r="W90" s="1319"/>
      <c r="X90" s="1319"/>
      <c r="Y90" s="1319"/>
      <c r="Z90" s="1319"/>
    </row>
    <row r="91" spans="1:26" ht="18.75" customHeight="1">
      <c r="A91" s="1319"/>
      <c r="B91" s="1344"/>
      <c r="C91" s="1319"/>
      <c r="D91" s="1344"/>
      <c r="E91" s="1319"/>
      <c r="F91" s="1319"/>
      <c r="G91" s="1319"/>
      <c r="H91" s="1319"/>
      <c r="I91" s="1319"/>
      <c r="J91" s="1319"/>
      <c r="K91" s="1319"/>
      <c r="L91" s="1319"/>
      <c r="M91" s="1319"/>
      <c r="N91" s="1319"/>
      <c r="O91" s="1319"/>
      <c r="P91" s="1319"/>
      <c r="Q91" s="1319"/>
      <c r="R91" s="1319"/>
      <c r="S91" s="1319"/>
      <c r="T91" s="1319"/>
      <c r="U91" s="1319"/>
      <c r="V91" s="1319"/>
      <c r="W91" s="1319"/>
      <c r="X91" s="1319"/>
      <c r="Y91" s="1319"/>
      <c r="Z91" s="1319"/>
    </row>
    <row r="92" spans="1:26" ht="18.75" customHeight="1">
      <c r="A92" s="1319"/>
      <c r="B92" s="1344"/>
      <c r="C92" s="1319"/>
      <c r="D92" s="1344"/>
      <c r="E92" s="1319"/>
      <c r="F92" s="1319"/>
      <c r="G92" s="1319"/>
      <c r="H92" s="1319"/>
      <c r="I92" s="1319"/>
      <c r="J92" s="1319"/>
      <c r="K92" s="1319"/>
      <c r="L92" s="1319"/>
      <c r="M92" s="1319"/>
      <c r="N92" s="1319"/>
      <c r="O92" s="1319"/>
      <c r="P92" s="1319"/>
      <c r="Q92" s="1319"/>
      <c r="R92" s="1319"/>
      <c r="S92" s="1319"/>
      <c r="T92" s="1319"/>
      <c r="U92" s="1319"/>
      <c r="V92" s="1319"/>
      <c r="W92" s="1319"/>
      <c r="X92" s="1319"/>
      <c r="Y92" s="1319"/>
      <c r="Z92" s="1319"/>
    </row>
    <row r="93" spans="1:26" ht="18.75" customHeight="1">
      <c r="A93" s="1319"/>
      <c r="B93" s="1344"/>
      <c r="C93" s="1319"/>
      <c r="D93" s="1344"/>
      <c r="E93" s="1319"/>
      <c r="F93" s="1319"/>
      <c r="G93" s="1319"/>
      <c r="H93" s="1319"/>
      <c r="I93" s="1319"/>
      <c r="J93" s="1319"/>
      <c r="K93" s="1319"/>
      <c r="L93" s="1319"/>
      <c r="M93" s="1319"/>
      <c r="N93" s="1319"/>
      <c r="O93" s="1319"/>
      <c r="P93" s="1319"/>
      <c r="Q93" s="1319"/>
      <c r="R93" s="1319"/>
      <c r="S93" s="1319"/>
      <c r="T93" s="1319"/>
      <c r="U93" s="1319"/>
      <c r="V93" s="1319"/>
      <c r="W93" s="1319"/>
      <c r="X93" s="1319"/>
      <c r="Y93" s="1319"/>
      <c r="Z93" s="1319"/>
    </row>
    <row r="94" spans="1:26" ht="18.75" customHeight="1">
      <c r="A94" s="1319"/>
      <c r="B94" s="1344"/>
      <c r="C94" s="1319"/>
      <c r="D94" s="1344"/>
      <c r="E94" s="1319"/>
      <c r="F94" s="1319"/>
      <c r="G94" s="1319"/>
      <c r="H94" s="1319"/>
      <c r="I94" s="1319"/>
      <c r="J94" s="1319"/>
      <c r="K94" s="1319"/>
      <c r="L94" s="1319"/>
      <c r="M94" s="1319"/>
      <c r="N94" s="1319"/>
      <c r="O94" s="1319"/>
      <c r="P94" s="1319"/>
      <c r="Q94" s="1319"/>
      <c r="R94" s="1319"/>
      <c r="S94" s="1319"/>
      <c r="T94" s="1319"/>
      <c r="U94" s="1319"/>
      <c r="V94" s="1319"/>
      <c r="W94" s="1319"/>
      <c r="X94" s="1319"/>
      <c r="Y94" s="1319"/>
      <c r="Z94" s="1319"/>
    </row>
    <row r="95" spans="1:26" ht="18.75" customHeight="1">
      <c r="A95" s="1319"/>
      <c r="B95" s="1344"/>
      <c r="C95" s="1319"/>
      <c r="D95" s="1344"/>
      <c r="E95" s="1319"/>
      <c r="F95" s="1319"/>
      <c r="G95" s="1319"/>
      <c r="H95" s="1319"/>
      <c r="I95" s="1319"/>
      <c r="J95" s="1319"/>
      <c r="K95" s="1319"/>
      <c r="L95" s="1319"/>
      <c r="M95" s="1319"/>
      <c r="N95" s="1319"/>
      <c r="O95" s="1319"/>
      <c r="P95" s="1319"/>
      <c r="Q95" s="1319"/>
      <c r="R95" s="1319"/>
      <c r="S95" s="1319"/>
      <c r="T95" s="1319"/>
      <c r="U95" s="1319"/>
      <c r="V95" s="1319"/>
      <c r="W95" s="1319"/>
      <c r="X95" s="1319"/>
      <c r="Y95" s="1319"/>
      <c r="Z95" s="1319"/>
    </row>
    <row r="96" spans="1:26" ht="18.75" customHeight="1">
      <c r="A96" s="1319"/>
      <c r="B96" s="1344"/>
      <c r="C96" s="1319"/>
      <c r="D96" s="1344"/>
      <c r="E96" s="1319"/>
      <c r="F96" s="1319"/>
      <c r="G96" s="1319"/>
      <c r="H96" s="1319"/>
      <c r="I96" s="1319"/>
      <c r="J96" s="1319"/>
      <c r="K96" s="1319"/>
      <c r="L96" s="1319"/>
      <c r="M96" s="1319"/>
      <c r="N96" s="1319"/>
      <c r="O96" s="1319"/>
      <c r="P96" s="1319"/>
      <c r="Q96" s="1319"/>
      <c r="R96" s="1319"/>
      <c r="S96" s="1319"/>
      <c r="T96" s="1319"/>
      <c r="U96" s="1319"/>
      <c r="V96" s="1319"/>
      <c r="W96" s="1319"/>
      <c r="X96" s="1319"/>
      <c r="Y96" s="1319"/>
      <c r="Z96" s="1319"/>
    </row>
    <row r="97" spans="1:26" ht="18.75" customHeight="1">
      <c r="A97" s="1319"/>
      <c r="B97" s="1344"/>
      <c r="C97" s="1319"/>
      <c r="D97" s="1344"/>
      <c r="E97" s="1319"/>
      <c r="F97" s="1319"/>
      <c r="G97" s="1319"/>
      <c r="H97" s="1319"/>
      <c r="I97" s="1319"/>
      <c r="J97" s="1319"/>
      <c r="K97" s="1319"/>
      <c r="L97" s="1319"/>
      <c r="M97" s="1319"/>
      <c r="N97" s="1319"/>
      <c r="O97" s="1319"/>
      <c r="P97" s="1319"/>
      <c r="Q97" s="1319"/>
      <c r="R97" s="1319"/>
      <c r="S97" s="1319"/>
      <c r="T97" s="1319"/>
      <c r="U97" s="1319"/>
      <c r="V97" s="1319"/>
      <c r="W97" s="1319"/>
      <c r="X97" s="1319"/>
      <c r="Y97" s="1319"/>
      <c r="Z97" s="1319"/>
    </row>
    <row r="98" spans="1:26" ht="18.75" customHeight="1">
      <c r="A98" s="1319"/>
      <c r="B98" s="1344"/>
      <c r="C98" s="1319"/>
      <c r="D98" s="1344"/>
      <c r="E98" s="1319"/>
      <c r="F98" s="1319"/>
      <c r="G98" s="1319"/>
      <c r="H98" s="1319"/>
      <c r="I98" s="1319"/>
      <c r="J98" s="1319"/>
      <c r="K98" s="1319"/>
      <c r="L98" s="1319"/>
      <c r="M98" s="1319"/>
      <c r="N98" s="1319"/>
      <c r="O98" s="1319"/>
      <c r="P98" s="1319"/>
      <c r="Q98" s="1319"/>
      <c r="R98" s="1319"/>
      <c r="S98" s="1319"/>
      <c r="T98" s="1319"/>
      <c r="U98" s="1319"/>
      <c r="V98" s="1319"/>
      <c r="W98" s="1319"/>
      <c r="X98" s="1319"/>
      <c r="Y98" s="1319"/>
      <c r="Z98" s="1319"/>
    </row>
    <row r="99" spans="1:26" ht="18.75" customHeight="1">
      <c r="A99" s="1319"/>
      <c r="B99" s="1344"/>
      <c r="C99" s="1319"/>
      <c r="D99" s="1344"/>
      <c r="E99" s="1319"/>
      <c r="F99" s="1319"/>
      <c r="G99" s="1319"/>
      <c r="H99" s="1319"/>
      <c r="I99" s="1319"/>
      <c r="J99" s="1319"/>
      <c r="K99" s="1319"/>
      <c r="L99" s="1319"/>
      <c r="M99" s="1319"/>
      <c r="N99" s="1319"/>
      <c r="O99" s="1319"/>
      <c r="P99" s="1319"/>
      <c r="Q99" s="1319"/>
      <c r="R99" s="1319"/>
      <c r="S99" s="1319"/>
      <c r="T99" s="1319"/>
      <c r="U99" s="1319"/>
      <c r="V99" s="1319"/>
      <c r="W99" s="1319"/>
      <c r="X99" s="1319"/>
      <c r="Y99" s="1319"/>
      <c r="Z99" s="1319"/>
    </row>
    <row r="100" spans="1:26" ht="18.75" customHeight="1">
      <c r="A100" s="1319"/>
      <c r="B100" s="1344"/>
      <c r="C100" s="1319"/>
      <c r="D100" s="1344"/>
      <c r="E100" s="1319"/>
      <c r="F100" s="1319"/>
      <c r="G100" s="1319"/>
      <c r="H100" s="1319"/>
      <c r="I100" s="1319"/>
      <c r="J100" s="1319"/>
      <c r="K100" s="1319"/>
      <c r="L100" s="1319"/>
      <c r="M100" s="1319"/>
      <c r="N100" s="1319"/>
      <c r="O100" s="1319"/>
      <c r="P100" s="1319"/>
      <c r="Q100" s="1319"/>
      <c r="R100" s="1319"/>
      <c r="S100" s="1319"/>
      <c r="T100" s="1319"/>
      <c r="U100" s="1319"/>
      <c r="V100" s="1319"/>
      <c r="W100" s="1319"/>
      <c r="X100" s="1319"/>
      <c r="Y100" s="1319"/>
      <c r="Z100" s="1319"/>
    </row>
    <row r="101" spans="1:26" ht="18.75" customHeight="1">
      <c r="A101" s="1319"/>
      <c r="B101" s="1344"/>
      <c r="C101" s="1319"/>
      <c r="D101" s="1344"/>
      <c r="E101" s="1319"/>
      <c r="F101" s="1319"/>
      <c r="G101" s="1319"/>
      <c r="H101" s="1319"/>
      <c r="I101" s="1319"/>
      <c r="J101" s="1319"/>
      <c r="K101" s="1319"/>
      <c r="L101" s="1319"/>
      <c r="M101" s="1319"/>
      <c r="N101" s="1319"/>
      <c r="O101" s="1319"/>
      <c r="P101" s="1319"/>
      <c r="Q101" s="1319"/>
      <c r="R101" s="1319"/>
      <c r="S101" s="1319"/>
      <c r="T101" s="1319"/>
      <c r="U101" s="1319"/>
      <c r="V101" s="1319"/>
      <c r="W101" s="1319"/>
      <c r="X101" s="1319"/>
      <c r="Y101" s="1319"/>
      <c r="Z101" s="1319"/>
    </row>
    <row r="102" spans="1:26" ht="18.75" customHeight="1">
      <c r="A102" s="1319"/>
      <c r="B102" s="1344"/>
      <c r="C102" s="1319"/>
      <c r="D102" s="1344"/>
      <c r="E102" s="1319"/>
      <c r="F102" s="1319"/>
      <c r="G102" s="1319"/>
      <c r="H102" s="1319"/>
      <c r="I102" s="1319"/>
      <c r="J102" s="1319"/>
      <c r="K102" s="1319"/>
      <c r="L102" s="1319"/>
      <c r="M102" s="1319"/>
      <c r="N102" s="1319"/>
      <c r="O102" s="1319"/>
      <c r="P102" s="1319"/>
      <c r="Q102" s="1319"/>
      <c r="R102" s="1319"/>
      <c r="S102" s="1319"/>
      <c r="T102" s="1319"/>
      <c r="U102" s="1319"/>
      <c r="V102" s="1319"/>
      <c r="W102" s="1319"/>
      <c r="X102" s="1319"/>
      <c r="Y102" s="1319"/>
      <c r="Z102" s="1319"/>
    </row>
    <row r="103" spans="1:26" ht="18.75" customHeight="1">
      <c r="A103" s="1319"/>
      <c r="B103" s="1344"/>
      <c r="C103" s="1319"/>
      <c r="D103" s="1344"/>
      <c r="E103" s="1319"/>
      <c r="F103" s="1319"/>
      <c r="G103" s="1319"/>
      <c r="H103" s="1319"/>
      <c r="I103" s="1319"/>
      <c r="J103" s="1319"/>
      <c r="K103" s="1319"/>
      <c r="L103" s="1319"/>
      <c r="M103" s="1319"/>
      <c r="N103" s="1319"/>
      <c r="O103" s="1319"/>
      <c r="P103" s="1319"/>
      <c r="Q103" s="1319"/>
      <c r="R103" s="1319"/>
      <c r="S103" s="1319"/>
      <c r="T103" s="1319"/>
      <c r="U103" s="1319"/>
      <c r="V103" s="1319"/>
      <c r="W103" s="1319"/>
      <c r="X103" s="1319"/>
      <c r="Y103" s="1319"/>
      <c r="Z103" s="1319"/>
    </row>
    <row r="104" spans="1:26" ht="18.75" customHeight="1">
      <c r="A104" s="1319"/>
      <c r="B104" s="1344"/>
      <c r="C104" s="1319"/>
      <c r="D104" s="1344"/>
      <c r="E104" s="1319"/>
      <c r="F104" s="1319"/>
      <c r="G104" s="1319"/>
      <c r="H104" s="1319"/>
      <c r="I104" s="1319"/>
      <c r="J104" s="1319"/>
      <c r="K104" s="1319"/>
      <c r="L104" s="1319"/>
      <c r="M104" s="1319"/>
      <c r="N104" s="1319"/>
      <c r="O104" s="1319"/>
      <c r="P104" s="1319"/>
      <c r="Q104" s="1319"/>
      <c r="R104" s="1319"/>
      <c r="S104" s="1319"/>
      <c r="T104" s="1319"/>
      <c r="U104" s="1319"/>
      <c r="V104" s="1319"/>
      <c r="W104" s="1319"/>
      <c r="X104" s="1319"/>
      <c r="Y104" s="1319"/>
      <c r="Z104" s="1319"/>
    </row>
    <row r="105" spans="1:26" ht="18.75" customHeight="1">
      <c r="A105" s="1319"/>
      <c r="B105" s="1344"/>
      <c r="C105" s="1319"/>
      <c r="D105" s="1344"/>
      <c r="E105" s="1319"/>
      <c r="F105" s="1319"/>
      <c r="G105" s="1319"/>
      <c r="H105" s="1319"/>
      <c r="I105" s="1319"/>
      <c r="J105" s="1319"/>
      <c r="K105" s="1319"/>
      <c r="L105" s="1319"/>
      <c r="M105" s="1319"/>
      <c r="N105" s="1319"/>
      <c r="O105" s="1319"/>
      <c r="P105" s="1319"/>
      <c r="Q105" s="1319"/>
      <c r="R105" s="1319"/>
      <c r="S105" s="1319"/>
      <c r="T105" s="1319"/>
      <c r="U105" s="1319"/>
      <c r="V105" s="1319"/>
      <c r="W105" s="1319"/>
      <c r="X105" s="1319"/>
      <c r="Y105" s="1319"/>
      <c r="Z105" s="1319"/>
    </row>
    <row r="106" spans="1:26" ht="18.75" customHeight="1">
      <c r="A106" s="1319"/>
      <c r="B106" s="1344"/>
      <c r="C106" s="1319"/>
      <c r="D106" s="1344"/>
      <c r="E106" s="1319"/>
      <c r="F106" s="1319"/>
      <c r="G106" s="1319"/>
      <c r="H106" s="1319"/>
      <c r="I106" s="1319"/>
      <c r="J106" s="1319"/>
      <c r="K106" s="1319"/>
      <c r="L106" s="1319"/>
      <c r="M106" s="1319"/>
      <c r="N106" s="1319"/>
      <c r="O106" s="1319"/>
      <c r="P106" s="1319"/>
      <c r="Q106" s="1319"/>
      <c r="R106" s="1319"/>
      <c r="S106" s="1319"/>
      <c r="T106" s="1319"/>
      <c r="U106" s="1319"/>
      <c r="V106" s="1319"/>
      <c r="W106" s="1319"/>
      <c r="X106" s="1319"/>
      <c r="Y106" s="1319"/>
      <c r="Z106" s="1319"/>
    </row>
    <row r="107" spans="1:26" ht="18.75" customHeight="1">
      <c r="A107" s="1319"/>
      <c r="B107" s="1344"/>
      <c r="C107" s="1319"/>
      <c r="D107" s="1344"/>
      <c r="E107" s="1319"/>
      <c r="F107" s="1319"/>
      <c r="G107" s="1319"/>
      <c r="H107" s="1319"/>
      <c r="I107" s="1319"/>
      <c r="J107" s="1319"/>
      <c r="K107" s="1319"/>
      <c r="L107" s="1319"/>
      <c r="M107" s="1319"/>
      <c r="N107" s="1319"/>
      <c r="O107" s="1319"/>
      <c r="P107" s="1319"/>
      <c r="Q107" s="1319"/>
      <c r="R107" s="1319"/>
      <c r="S107" s="1319"/>
      <c r="T107" s="1319"/>
      <c r="U107" s="1319"/>
      <c r="V107" s="1319"/>
      <c r="W107" s="1319"/>
      <c r="X107" s="1319"/>
      <c r="Y107" s="1319"/>
      <c r="Z107" s="1319"/>
    </row>
    <row r="108" spans="1:26" ht="18.75" customHeight="1">
      <c r="A108" s="1319"/>
      <c r="B108" s="1344"/>
      <c r="C108" s="1319"/>
      <c r="D108" s="1344"/>
      <c r="E108" s="1319"/>
      <c r="F108" s="1319"/>
      <c r="G108" s="1319"/>
      <c r="H108" s="1319"/>
      <c r="I108" s="1319"/>
      <c r="J108" s="1319"/>
      <c r="K108" s="1319"/>
      <c r="L108" s="1319"/>
      <c r="M108" s="1319"/>
      <c r="N108" s="1319"/>
      <c r="O108" s="1319"/>
      <c r="P108" s="1319"/>
      <c r="Q108" s="1319"/>
      <c r="R108" s="1319"/>
      <c r="S108" s="1319"/>
      <c r="T108" s="1319"/>
      <c r="U108" s="1319"/>
      <c r="V108" s="1319"/>
      <c r="W108" s="1319"/>
      <c r="X108" s="1319"/>
      <c r="Y108" s="1319"/>
      <c r="Z108" s="1319"/>
    </row>
    <row r="109" spans="1:26" ht="18.75" customHeight="1">
      <c r="A109" s="1319"/>
      <c r="B109" s="1344"/>
      <c r="C109" s="1319"/>
      <c r="D109" s="1344"/>
      <c r="E109" s="1319"/>
      <c r="F109" s="1319"/>
      <c r="G109" s="1319"/>
      <c r="H109" s="1319"/>
      <c r="I109" s="1319"/>
      <c r="J109" s="1319"/>
      <c r="K109" s="1319"/>
      <c r="L109" s="1319"/>
      <c r="M109" s="1319"/>
      <c r="N109" s="1319"/>
      <c r="O109" s="1319"/>
      <c r="P109" s="1319"/>
      <c r="Q109" s="1319"/>
      <c r="R109" s="1319"/>
      <c r="S109" s="1319"/>
      <c r="T109" s="1319"/>
      <c r="U109" s="1319"/>
      <c r="V109" s="1319"/>
      <c r="W109" s="1319"/>
      <c r="X109" s="1319"/>
      <c r="Y109" s="1319"/>
      <c r="Z109" s="1319"/>
    </row>
    <row r="110" spans="1:26" ht="18.75" customHeight="1">
      <c r="A110" s="1319"/>
      <c r="B110" s="1344"/>
      <c r="C110" s="1319"/>
      <c r="D110" s="1344"/>
      <c r="E110" s="1319"/>
      <c r="F110" s="1319"/>
      <c r="G110" s="1319"/>
      <c r="H110" s="1319"/>
      <c r="I110" s="1319"/>
      <c r="J110" s="1319"/>
      <c r="K110" s="1319"/>
      <c r="L110" s="1319"/>
      <c r="M110" s="1319"/>
      <c r="N110" s="1319"/>
      <c r="O110" s="1319"/>
      <c r="P110" s="1319"/>
      <c r="Q110" s="1319"/>
      <c r="R110" s="1319"/>
      <c r="S110" s="1319"/>
      <c r="T110" s="1319"/>
      <c r="U110" s="1319"/>
      <c r="V110" s="1319"/>
      <c r="W110" s="1319"/>
      <c r="X110" s="1319"/>
      <c r="Y110" s="1319"/>
      <c r="Z110" s="1319"/>
    </row>
    <row r="111" spans="1:26" ht="18.75" customHeight="1">
      <c r="A111" s="1319"/>
      <c r="B111" s="1344"/>
      <c r="C111" s="1319"/>
      <c r="D111" s="1344"/>
      <c r="E111" s="1319"/>
      <c r="F111" s="1319"/>
      <c r="G111" s="1319"/>
      <c r="H111" s="1319"/>
      <c r="I111" s="1319"/>
      <c r="J111" s="1319"/>
      <c r="K111" s="1319"/>
      <c r="L111" s="1319"/>
      <c r="M111" s="1319"/>
      <c r="N111" s="1319"/>
      <c r="O111" s="1319"/>
      <c r="P111" s="1319"/>
      <c r="Q111" s="1319"/>
      <c r="R111" s="1319"/>
      <c r="S111" s="1319"/>
      <c r="T111" s="1319"/>
      <c r="U111" s="1319"/>
      <c r="V111" s="1319"/>
      <c r="W111" s="1319"/>
      <c r="X111" s="1319"/>
      <c r="Y111" s="1319"/>
      <c r="Z111" s="1319"/>
    </row>
    <row r="112" spans="1:26" ht="18.75" customHeight="1">
      <c r="A112" s="1319"/>
      <c r="B112" s="1344"/>
      <c r="C112" s="1319"/>
      <c r="D112" s="1344"/>
      <c r="E112" s="1319"/>
      <c r="F112" s="1319"/>
      <c r="G112" s="1319"/>
      <c r="H112" s="1319"/>
      <c r="I112" s="1319"/>
      <c r="J112" s="1319"/>
      <c r="K112" s="1319"/>
      <c r="L112" s="1319"/>
      <c r="M112" s="1319"/>
      <c r="N112" s="1319"/>
      <c r="O112" s="1319"/>
      <c r="P112" s="1319"/>
      <c r="Q112" s="1319"/>
      <c r="R112" s="1319"/>
      <c r="S112" s="1319"/>
      <c r="T112" s="1319"/>
      <c r="U112" s="1319"/>
      <c r="V112" s="1319"/>
      <c r="W112" s="1319"/>
      <c r="X112" s="1319"/>
      <c r="Y112" s="1319"/>
      <c r="Z112" s="1319"/>
    </row>
    <row r="113" spans="1:26" ht="18.75" customHeight="1">
      <c r="A113" s="1319"/>
      <c r="B113" s="1344"/>
      <c r="C113" s="1319"/>
      <c r="D113" s="1344"/>
      <c r="E113" s="1319"/>
      <c r="F113" s="1319"/>
      <c r="G113" s="1319"/>
      <c r="H113" s="1319"/>
      <c r="I113" s="1319"/>
      <c r="J113" s="1319"/>
      <c r="K113" s="1319"/>
      <c r="L113" s="1319"/>
      <c r="M113" s="1319"/>
      <c r="N113" s="1319"/>
      <c r="O113" s="1319"/>
      <c r="P113" s="1319"/>
      <c r="Q113" s="1319"/>
      <c r="R113" s="1319"/>
      <c r="S113" s="1319"/>
      <c r="T113" s="1319"/>
      <c r="U113" s="1319"/>
      <c r="V113" s="1319"/>
      <c r="W113" s="1319"/>
      <c r="X113" s="1319"/>
      <c r="Y113" s="1319"/>
      <c r="Z113" s="1319"/>
    </row>
    <row r="114" spans="1:26" ht="18.75" customHeight="1">
      <c r="A114" s="1319"/>
      <c r="B114" s="1344"/>
      <c r="C114" s="1319"/>
      <c r="D114" s="1344"/>
      <c r="E114" s="1319"/>
      <c r="F114" s="1319"/>
      <c r="G114" s="1319"/>
      <c r="H114" s="1319"/>
      <c r="I114" s="1319"/>
      <c r="J114" s="1319"/>
      <c r="K114" s="1319"/>
      <c r="L114" s="1319"/>
      <c r="M114" s="1319"/>
      <c r="N114" s="1319"/>
      <c r="O114" s="1319"/>
      <c r="P114" s="1319"/>
      <c r="Q114" s="1319"/>
      <c r="R114" s="1319"/>
      <c r="S114" s="1319"/>
      <c r="T114" s="1319"/>
      <c r="U114" s="1319"/>
      <c r="V114" s="1319"/>
      <c r="W114" s="1319"/>
      <c r="X114" s="1319"/>
      <c r="Y114" s="1319"/>
      <c r="Z114" s="1319"/>
    </row>
    <row r="115" spans="1:26" ht="18.75" customHeight="1">
      <c r="A115" s="1319"/>
      <c r="B115" s="1344"/>
      <c r="C115" s="1319"/>
      <c r="D115" s="1344"/>
      <c r="E115" s="1319"/>
      <c r="F115" s="1319"/>
      <c r="G115" s="1319"/>
      <c r="H115" s="1319"/>
      <c r="I115" s="1319"/>
      <c r="J115" s="1319"/>
      <c r="K115" s="1319"/>
      <c r="L115" s="1319"/>
      <c r="M115" s="1319"/>
      <c r="N115" s="1319"/>
      <c r="O115" s="1319"/>
      <c r="P115" s="1319"/>
      <c r="Q115" s="1319"/>
      <c r="R115" s="1319"/>
      <c r="S115" s="1319"/>
      <c r="T115" s="1319"/>
      <c r="U115" s="1319"/>
      <c r="V115" s="1319"/>
      <c r="W115" s="1319"/>
      <c r="X115" s="1319"/>
      <c r="Y115" s="1319"/>
      <c r="Z115" s="1319"/>
    </row>
    <row r="116" spans="1:26" ht="18.75" customHeight="1">
      <c r="A116" s="1319"/>
      <c r="B116" s="1344"/>
      <c r="C116" s="1319"/>
      <c r="D116" s="1344"/>
      <c r="E116" s="1319"/>
      <c r="F116" s="1319"/>
      <c r="G116" s="1319"/>
      <c r="H116" s="1319"/>
      <c r="I116" s="1319"/>
      <c r="J116" s="1319"/>
      <c r="K116" s="1319"/>
      <c r="L116" s="1319"/>
      <c r="M116" s="1319"/>
      <c r="N116" s="1319"/>
      <c r="O116" s="1319"/>
      <c r="P116" s="1319"/>
      <c r="Q116" s="1319"/>
      <c r="R116" s="1319"/>
      <c r="S116" s="1319"/>
      <c r="T116" s="1319"/>
      <c r="U116" s="1319"/>
      <c r="V116" s="1319"/>
      <c r="W116" s="1319"/>
      <c r="X116" s="1319"/>
      <c r="Y116" s="1319"/>
      <c r="Z116" s="1319"/>
    </row>
    <row r="117" spans="1:26" ht="18.75" customHeight="1">
      <c r="A117" s="1319"/>
      <c r="B117" s="1344"/>
      <c r="C117" s="1319"/>
      <c r="D117" s="1344"/>
      <c r="E117" s="1319"/>
      <c r="F117" s="1319"/>
      <c r="G117" s="1319"/>
      <c r="H117" s="1319"/>
      <c r="I117" s="1319"/>
      <c r="J117" s="1319"/>
      <c r="K117" s="1319"/>
      <c r="L117" s="1319"/>
      <c r="M117" s="1319"/>
      <c r="N117" s="1319"/>
      <c r="O117" s="1319"/>
      <c r="P117" s="1319"/>
      <c r="Q117" s="1319"/>
      <c r="R117" s="1319"/>
      <c r="S117" s="1319"/>
      <c r="T117" s="1319"/>
      <c r="U117" s="1319"/>
      <c r="V117" s="1319"/>
      <c r="W117" s="1319"/>
      <c r="X117" s="1319"/>
      <c r="Y117" s="1319"/>
      <c r="Z117" s="1319"/>
    </row>
    <row r="118" spans="1:26" ht="18.75" customHeight="1">
      <c r="A118" s="1319"/>
      <c r="B118" s="1344"/>
      <c r="C118" s="1319"/>
      <c r="D118" s="1344"/>
      <c r="E118" s="1319"/>
      <c r="F118" s="1319"/>
      <c r="G118" s="1319"/>
      <c r="H118" s="1319"/>
      <c r="I118" s="1319"/>
      <c r="J118" s="1319"/>
      <c r="K118" s="1319"/>
      <c r="L118" s="1319"/>
      <c r="M118" s="1319"/>
      <c r="N118" s="1319"/>
      <c r="O118" s="1319"/>
      <c r="P118" s="1319"/>
      <c r="Q118" s="1319"/>
      <c r="R118" s="1319"/>
      <c r="S118" s="1319"/>
      <c r="T118" s="1319"/>
      <c r="U118" s="1319"/>
      <c r="V118" s="1319"/>
      <c r="W118" s="1319"/>
      <c r="X118" s="1319"/>
      <c r="Y118" s="1319"/>
      <c r="Z118" s="1319"/>
    </row>
    <row r="119" spans="1:26" ht="18.75" customHeight="1">
      <c r="A119" s="1319"/>
      <c r="B119" s="1344"/>
      <c r="C119" s="1319"/>
      <c r="D119" s="1344"/>
      <c r="E119" s="1319"/>
      <c r="F119" s="1319"/>
      <c r="G119" s="1319"/>
      <c r="H119" s="1319"/>
      <c r="I119" s="1319"/>
      <c r="J119" s="1319"/>
      <c r="K119" s="1319"/>
      <c r="L119" s="1319"/>
      <c r="M119" s="1319"/>
      <c r="N119" s="1319"/>
      <c r="O119" s="1319"/>
      <c r="P119" s="1319"/>
      <c r="Q119" s="1319"/>
      <c r="R119" s="1319"/>
      <c r="S119" s="1319"/>
      <c r="T119" s="1319"/>
      <c r="U119" s="1319"/>
      <c r="V119" s="1319"/>
      <c r="W119" s="1319"/>
      <c r="X119" s="1319"/>
      <c r="Y119" s="1319"/>
      <c r="Z119" s="1319"/>
    </row>
    <row r="120" spans="1:26" ht="18.75" customHeight="1">
      <c r="A120" s="1319"/>
      <c r="B120" s="1344"/>
      <c r="C120" s="1319"/>
      <c r="D120" s="1344"/>
      <c r="E120" s="1319"/>
      <c r="F120" s="1319"/>
      <c r="G120" s="1319"/>
      <c r="H120" s="1319"/>
      <c r="I120" s="1319"/>
      <c r="J120" s="1319"/>
      <c r="K120" s="1319"/>
      <c r="L120" s="1319"/>
      <c r="M120" s="1319"/>
      <c r="N120" s="1319"/>
      <c r="O120" s="1319"/>
      <c r="P120" s="1319"/>
      <c r="Q120" s="1319"/>
      <c r="R120" s="1319"/>
      <c r="S120" s="1319"/>
      <c r="T120" s="1319"/>
      <c r="U120" s="1319"/>
      <c r="V120" s="1319"/>
      <c r="W120" s="1319"/>
      <c r="X120" s="1319"/>
      <c r="Y120" s="1319"/>
      <c r="Z120" s="1319"/>
    </row>
    <row r="121" spans="1:26" ht="18.75" customHeight="1">
      <c r="A121" s="1319"/>
      <c r="B121" s="1344"/>
      <c r="C121" s="1319"/>
      <c r="D121" s="1344"/>
      <c r="E121" s="1319"/>
      <c r="F121" s="1319"/>
      <c r="G121" s="1319"/>
      <c r="H121" s="1319"/>
      <c r="I121" s="1319"/>
      <c r="J121" s="1319"/>
      <c r="K121" s="1319"/>
      <c r="L121" s="1319"/>
      <c r="M121" s="1319"/>
      <c r="N121" s="1319"/>
      <c r="O121" s="1319"/>
      <c r="P121" s="1319"/>
      <c r="Q121" s="1319"/>
      <c r="R121" s="1319"/>
      <c r="S121" s="1319"/>
      <c r="T121" s="1319"/>
      <c r="U121" s="1319"/>
      <c r="V121" s="1319"/>
      <c r="W121" s="1319"/>
      <c r="X121" s="1319"/>
      <c r="Y121" s="1319"/>
      <c r="Z121" s="1319"/>
    </row>
    <row r="122" spans="1:26" ht="18.75" customHeight="1">
      <c r="A122" s="1319"/>
      <c r="B122" s="1344"/>
      <c r="C122" s="1319"/>
      <c r="D122" s="1344"/>
      <c r="E122" s="1319"/>
      <c r="F122" s="1319"/>
      <c r="G122" s="1319"/>
      <c r="H122" s="1319"/>
      <c r="I122" s="1319"/>
      <c r="J122" s="1319"/>
      <c r="K122" s="1319"/>
      <c r="L122" s="1319"/>
      <c r="M122" s="1319"/>
      <c r="N122" s="1319"/>
      <c r="O122" s="1319"/>
      <c r="P122" s="1319"/>
      <c r="Q122" s="1319"/>
      <c r="R122" s="1319"/>
      <c r="S122" s="1319"/>
      <c r="T122" s="1319"/>
      <c r="U122" s="1319"/>
      <c r="V122" s="1319"/>
      <c r="W122" s="1319"/>
      <c r="X122" s="1319"/>
      <c r="Y122" s="1319"/>
      <c r="Z122" s="1319"/>
    </row>
    <row r="123" spans="1:26" ht="18.75" customHeight="1">
      <c r="A123" s="1319"/>
      <c r="B123" s="1344"/>
      <c r="C123" s="1319"/>
      <c r="D123" s="1344"/>
      <c r="E123" s="1319"/>
      <c r="F123" s="1319"/>
      <c r="G123" s="1319"/>
      <c r="H123" s="1319"/>
      <c r="I123" s="1319"/>
      <c r="J123" s="1319"/>
      <c r="K123" s="1319"/>
      <c r="L123" s="1319"/>
      <c r="M123" s="1319"/>
      <c r="N123" s="1319"/>
      <c r="O123" s="1319"/>
      <c r="P123" s="1319"/>
      <c r="Q123" s="1319"/>
      <c r="R123" s="1319"/>
      <c r="S123" s="1319"/>
      <c r="T123" s="1319"/>
      <c r="U123" s="1319"/>
      <c r="V123" s="1319"/>
      <c r="W123" s="1319"/>
      <c r="X123" s="1319"/>
      <c r="Y123" s="1319"/>
      <c r="Z123" s="1319"/>
    </row>
    <row r="124" spans="1:26" ht="18.75" customHeight="1">
      <c r="A124" s="1319"/>
      <c r="B124" s="1344"/>
      <c r="C124" s="1319"/>
      <c r="D124" s="1344"/>
      <c r="E124" s="1319"/>
      <c r="F124" s="1319"/>
      <c r="G124" s="1319"/>
      <c r="H124" s="1319"/>
      <c r="I124" s="1319"/>
      <c r="J124" s="1319"/>
      <c r="K124" s="1319"/>
      <c r="L124" s="1319"/>
      <c r="M124" s="1319"/>
      <c r="N124" s="1319"/>
      <c r="O124" s="1319"/>
      <c r="P124" s="1319"/>
      <c r="Q124" s="1319"/>
      <c r="R124" s="1319"/>
      <c r="S124" s="1319"/>
      <c r="T124" s="1319"/>
      <c r="U124" s="1319"/>
      <c r="V124" s="1319"/>
      <c r="W124" s="1319"/>
      <c r="X124" s="1319"/>
      <c r="Y124" s="1319"/>
      <c r="Z124" s="1319"/>
    </row>
    <row r="125" spans="1:26" ht="18.75" customHeight="1">
      <c r="A125" s="1319"/>
      <c r="B125" s="1344"/>
      <c r="C125" s="1319"/>
      <c r="D125" s="1344"/>
      <c r="E125" s="1319"/>
      <c r="F125" s="1319"/>
      <c r="G125" s="1319"/>
      <c r="H125" s="1319"/>
      <c r="I125" s="1319"/>
      <c r="J125" s="1319"/>
      <c r="K125" s="1319"/>
      <c r="L125" s="1319"/>
      <c r="M125" s="1319"/>
      <c r="N125" s="1319"/>
      <c r="O125" s="1319"/>
      <c r="P125" s="1319"/>
      <c r="Q125" s="1319"/>
      <c r="R125" s="1319"/>
      <c r="S125" s="1319"/>
      <c r="T125" s="1319"/>
      <c r="U125" s="1319"/>
      <c r="V125" s="1319"/>
      <c r="W125" s="1319"/>
      <c r="X125" s="1319"/>
      <c r="Y125" s="1319"/>
      <c r="Z125" s="1319"/>
    </row>
    <row r="126" spans="1:26" ht="18.75" customHeight="1">
      <c r="A126" s="1319"/>
      <c r="B126" s="1344"/>
      <c r="C126" s="1319"/>
      <c r="D126" s="1344"/>
      <c r="E126" s="1319"/>
      <c r="F126" s="1319"/>
      <c r="G126" s="1319"/>
      <c r="H126" s="1319"/>
      <c r="I126" s="1319"/>
      <c r="J126" s="1319"/>
      <c r="K126" s="1319"/>
      <c r="L126" s="1319"/>
      <c r="M126" s="1319"/>
      <c r="N126" s="1319"/>
      <c r="O126" s="1319"/>
      <c r="P126" s="1319"/>
      <c r="Q126" s="1319"/>
      <c r="R126" s="1319"/>
      <c r="S126" s="1319"/>
      <c r="T126" s="1319"/>
      <c r="U126" s="1319"/>
      <c r="V126" s="1319"/>
      <c r="W126" s="1319"/>
      <c r="X126" s="1319"/>
      <c r="Y126" s="1319"/>
      <c r="Z126" s="1319"/>
    </row>
    <row r="127" spans="1:26" ht="18.75" customHeight="1">
      <c r="A127" s="1319"/>
      <c r="B127" s="1344"/>
      <c r="C127" s="1319"/>
      <c r="D127" s="1344"/>
      <c r="E127" s="1319"/>
      <c r="F127" s="1319"/>
      <c r="G127" s="1319"/>
      <c r="H127" s="1319"/>
      <c r="I127" s="1319"/>
      <c r="J127" s="1319"/>
      <c r="K127" s="1319"/>
      <c r="L127" s="1319"/>
      <c r="M127" s="1319"/>
      <c r="N127" s="1319"/>
      <c r="O127" s="1319"/>
      <c r="P127" s="1319"/>
      <c r="Q127" s="1319"/>
      <c r="R127" s="1319"/>
      <c r="S127" s="1319"/>
      <c r="T127" s="1319"/>
      <c r="U127" s="1319"/>
      <c r="V127" s="1319"/>
      <c r="W127" s="1319"/>
      <c r="X127" s="1319"/>
      <c r="Y127" s="1319"/>
      <c r="Z127" s="1319"/>
    </row>
    <row r="128" spans="1:26" ht="18.75" customHeight="1">
      <c r="A128" s="1319"/>
      <c r="B128" s="1344"/>
      <c r="C128" s="1319"/>
      <c r="D128" s="1344"/>
      <c r="E128" s="1319"/>
      <c r="F128" s="1319"/>
      <c r="G128" s="1319"/>
      <c r="H128" s="1319"/>
      <c r="I128" s="1319"/>
      <c r="J128" s="1319"/>
      <c r="K128" s="1319"/>
      <c r="L128" s="1319"/>
      <c r="M128" s="1319"/>
      <c r="N128" s="1319"/>
      <c r="O128" s="1319"/>
      <c r="P128" s="1319"/>
      <c r="Q128" s="1319"/>
      <c r="R128" s="1319"/>
      <c r="S128" s="1319"/>
      <c r="T128" s="1319"/>
      <c r="U128" s="1319"/>
      <c r="V128" s="1319"/>
      <c r="W128" s="1319"/>
      <c r="X128" s="1319"/>
      <c r="Y128" s="1319"/>
      <c r="Z128" s="1319"/>
    </row>
    <row r="129" spans="1:26" ht="18.75" customHeight="1">
      <c r="A129" s="1319"/>
      <c r="B129" s="1344"/>
      <c r="C129" s="1319"/>
      <c r="D129" s="1344"/>
      <c r="E129" s="1319"/>
      <c r="F129" s="1319"/>
      <c r="G129" s="1319"/>
      <c r="H129" s="1319"/>
      <c r="I129" s="1319"/>
      <c r="J129" s="1319"/>
      <c r="K129" s="1319"/>
      <c r="L129" s="1319"/>
      <c r="M129" s="1319"/>
      <c r="N129" s="1319"/>
      <c r="O129" s="1319"/>
      <c r="P129" s="1319"/>
      <c r="Q129" s="1319"/>
      <c r="R129" s="1319"/>
      <c r="S129" s="1319"/>
      <c r="T129" s="1319"/>
      <c r="U129" s="1319"/>
      <c r="V129" s="1319"/>
      <c r="W129" s="1319"/>
      <c r="X129" s="1319"/>
      <c r="Y129" s="1319"/>
      <c r="Z129" s="1319"/>
    </row>
    <row r="130" spans="1:26" ht="18.75" customHeight="1">
      <c r="A130" s="1319"/>
      <c r="B130" s="1344"/>
      <c r="C130" s="1319"/>
      <c r="D130" s="1344"/>
      <c r="E130" s="1319"/>
      <c r="F130" s="1319"/>
      <c r="G130" s="1319"/>
      <c r="H130" s="1319"/>
      <c r="I130" s="1319"/>
      <c r="J130" s="1319"/>
      <c r="K130" s="1319"/>
      <c r="L130" s="1319"/>
      <c r="M130" s="1319"/>
      <c r="N130" s="1319"/>
      <c r="O130" s="1319"/>
      <c r="P130" s="1319"/>
      <c r="Q130" s="1319"/>
      <c r="R130" s="1319"/>
      <c r="S130" s="1319"/>
      <c r="T130" s="1319"/>
      <c r="U130" s="1319"/>
      <c r="V130" s="1319"/>
      <c r="W130" s="1319"/>
      <c r="X130" s="1319"/>
      <c r="Y130" s="1319"/>
      <c r="Z130" s="1319"/>
    </row>
    <row r="131" spans="1:26" ht="18.75" customHeight="1">
      <c r="A131" s="1319"/>
      <c r="B131" s="1344"/>
      <c r="C131" s="1319"/>
      <c r="D131" s="1344"/>
      <c r="E131" s="1319"/>
      <c r="F131" s="1319"/>
      <c r="G131" s="1319"/>
      <c r="H131" s="1319"/>
      <c r="I131" s="1319"/>
      <c r="J131" s="1319"/>
      <c r="K131" s="1319"/>
      <c r="L131" s="1319"/>
      <c r="M131" s="1319"/>
      <c r="N131" s="1319"/>
      <c r="O131" s="1319"/>
      <c r="P131" s="1319"/>
      <c r="Q131" s="1319"/>
      <c r="R131" s="1319"/>
      <c r="S131" s="1319"/>
      <c r="T131" s="1319"/>
      <c r="U131" s="1319"/>
      <c r="V131" s="1319"/>
      <c r="W131" s="1319"/>
      <c r="X131" s="1319"/>
      <c r="Y131" s="1319"/>
      <c r="Z131" s="1319"/>
    </row>
    <row r="132" spans="1:26" ht="18.75" customHeight="1">
      <c r="A132" s="1319"/>
      <c r="B132" s="1344"/>
      <c r="C132" s="1319"/>
      <c r="D132" s="1344"/>
      <c r="E132" s="1319"/>
      <c r="F132" s="1319"/>
      <c r="G132" s="1319"/>
      <c r="H132" s="1319"/>
      <c r="I132" s="1319"/>
      <c r="J132" s="1319"/>
      <c r="K132" s="1319"/>
      <c r="L132" s="1319"/>
      <c r="M132" s="1319"/>
      <c r="N132" s="1319"/>
      <c r="O132" s="1319"/>
      <c r="P132" s="1319"/>
      <c r="Q132" s="1319"/>
      <c r="R132" s="1319"/>
      <c r="S132" s="1319"/>
      <c r="T132" s="1319"/>
      <c r="U132" s="1319"/>
      <c r="V132" s="1319"/>
      <c r="W132" s="1319"/>
      <c r="X132" s="1319"/>
      <c r="Y132" s="1319"/>
      <c r="Z132" s="1319"/>
    </row>
    <row r="133" spans="1:26" ht="18.75" customHeight="1">
      <c r="A133" s="1319"/>
      <c r="B133" s="1344"/>
      <c r="C133" s="1319"/>
      <c r="D133" s="1344"/>
      <c r="E133" s="1319"/>
      <c r="F133" s="1319"/>
      <c r="G133" s="1319"/>
      <c r="H133" s="1319"/>
      <c r="I133" s="1319"/>
      <c r="J133" s="1319"/>
      <c r="K133" s="1319"/>
      <c r="L133" s="1319"/>
      <c r="M133" s="1319"/>
      <c r="N133" s="1319"/>
      <c r="O133" s="1319"/>
      <c r="P133" s="1319"/>
      <c r="Q133" s="1319"/>
      <c r="R133" s="1319"/>
      <c r="S133" s="1319"/>
      <c r="T133" s="1319"/>
      <c r="U133" s="1319"/>
      <c r="V133" s="1319"/>
      <c r="W133" s="1319"/>
      <c r="X133" s="1319"/>
      <c r="Y133" s="1319"/>
      <c r="Z133" s="1319"/>
    </row>
    <row r="134" spans="1:26" ht="18.75" customHeight="1">
      <c r="A134" s="1319"/>
      <c r="B134" s="1344"/>
      <c r="C134" s="1319"/>
      <c r="D134" s="1344"/>
      <c r="E134" s="1319"/>
      <c r="F134" s="1319"/>
      <c r="G134" s="1319"/>
      <c r="H134" s="1319"/>
      <c r="I134" s="1319"/>
      <c r="J134" s="1319"/>
      <c r="K134" s="1319"/>
      <c r="L134" s="1319"/>
      <c r="M134" s="1319"/>
      <c r="N134" s="1319"/>
      <c r="O134" s="1319"/>
      <c r="P134" s="1319"/>
      <c r="Q134" s="1319"/>
      <c r="R134" s="1319"/>
      <c r="S134" s="1319"/>
      <c r="T134" s="1319"/>
      <c r="U134" s="1319"/>
      <c r="V134" s="1319"/>
      <c r="W134" s="1319"/>
      <c r="X134" s="1319"/>
      <c r="Y134" s="1319"/>
      <c r="Z134" s="1319"/>
    </row>
    <row r="135" spans="1:26" ht="18.75" customHeight="1">
      <c r="A135" s="1319"/>
      <c r="B135" s="1344"/>
      <c r="C135" s="1319"/>
      <c r="D135" s="1344"/>
      <c r="E135" s="1319"/>
      <c r="F135" s="1319"/>
      <c r="G135" s="1319"/>
      <c r="H135" s="1319"/>
      <c r="I135" s="1319"/>
      <c r="J135" s="1319"/>
      <c r="K135" s="1319"/>
      <c r="L135" s="1319"/>
      <c r="M135" s="1319"/>
      <c r="N135" s="1319"/>
      <c r="O135" s="1319"/>
      <c r="P135" s="1319"/>
      <c r="Q135" s="1319"/>
      <c r="R135" s="1319"/>
      <c r="S135" s="1319"/>
      <c r="T135" s="1319"/>
      <c r="U135" s="1319"/>
      <c r="V135" s="1319"/>
      <c r="W135" s="1319"/>
      <c r="X135" s="1319"/>
      <c r="Y135" s="1319"/>
      <c r="Z135" s="1319"/>
    </row>
    <row r="136" spans="1:26" ht="18.75" customHeight="1">
      <c r="A136" s="1319"/>
      <c r="B136" s="1344"/>
      <c r="C136" s="1319"/>
      <c r="D136" s="1344"/>
      <c r="E136" s="1319"/>
      <c r="F136" s="1319"/>
      <c r="G136" s="1319"/>
      <c r="H136" s="1319"/>
      <c r="I136" s="1319"/>
      <c r="J136" s="1319"/>
      <c r="K136" s="1319"/>
      <c r="L136" s="1319"/>
      <c r="M136" s="1319"/>
      <c r="N136" s="1319"/>
      <c r="O136" s="1319"/>
      <c r="P136" s="1319"/>
      <c r="Q136" s="1319"/>
      <c r="R136" s="1319"/>
      <c r="S136" s="1319"/>
      <c r="T136" s="1319"/>
      <c r="U136" s="1319"/>
      <c r="V136" s="1319"/>
      <c r="W136" s="1319"/>
      <c r="X136" s="1319"/>
      <c r="Y136" s="1319"/>
      <c r="Z136" s="1319"/>
    </row>
    <row r="137" spans="1:26" ht="18.75" customHeight="1">
      <c r="A137" s="1319"/>
      <c r="B137" s="1344"/>
      <c r="C137" s="1319"/>
      <c r="D137" s="1344"/>
      <c r="E137" s="1319"/>
      <c r="F137" s="1319"/>
      <c r="G137" s="1319"/>
      <c r="H137" s="1319"/>
      <c r="I137" s="1319"/>
      <c r="J137" s="1319"/>
      <c r="K137" s="1319"/>
      <c r="L137" s="1319"/>
      <c r="M137" s="1319"/>
      <c r="N137" s="1319"/>
      <c r="O137" s="1319"/>
      <c r="P137" s="1319"/>
      <c r="Q137" s="1319"/>
      <c r="R137" s="1319"/>
      <c r="S137" s="1319"/>
      <c r="T137" s="1319"/>
      <c r="U137" s="1319"/>
      <c r="V137" s="1319"/>
      <c r="W137" s="1319"/>
      <c r="X137" s="1319"/>
      <c r="Y137" s="1319"/>
      <c r="Z137" s="1319"/>
    </row>
    <row r="138" spans="1:26" ht="18.75" customHeight="1">
      <c r="A138" s="1319"/>
      <c r="B138" s="1344"/>
      <c r="C138" s="1319"/>
      <c r="D138" s="1344"/>
      <c r="E138" s="1319"/>
      <c r="F138" s="1319"/>
      <c r="G138" s="1319"/>
      <c r="H138" s="1319"/>
      <c r="I138" s="1319"/>
      <c r="J138" s="1319"/>
      <c r="K138" s="1319"/>
      <c r="L138" s="1319"/>
      <c r="M138" s="1319"/>
      <c r="N138" s="1319"/>
      <c r="O138" s="1319"/>
      <c r="P138" s="1319"/>
      <c r="Q138" s="1319"/>
      <c r="R138" s="1319"/>
      <c r="S138" s="1319"/>
      <c r="T138" s="1319"/>
      <c r="U138" s="1319"/>
      <c r="V138" s="1319"/>
      <c r="W138" s="1319"/>
      <c r="X138" s="1319"/>
      <c r="Y138" s="1319"/>
      <c r="Z138" s="1319"/>
    </row>
    <row r="139" spans="1:26" ht="18.75" customHeight="1">
      <c r="A139" s="1319"/>
      <c r="B139" s="1344"/>
      <c r="C139" s="1319"/>
      <c r="D139" s="1344"/>
      <c r="E139" s="1319"/>
      <c r="F139" s="1319"/>
      <c r="G139" s="1319"/>
      <c r="H139" s="1319"/>
      <c r="I139" s="1319"/>
      <c r="J139" s="1319"/>
      <c r="K139" s="1319"/>
      <c r="L139" s="1319"/>
      <c r="M139" s="1319"/>
      <c r="N139" s="1319"/>
      <c r="O139" s="1319"/>
      <c r="P139" s="1319"/>
      <c r="Q139" s="1319"/>
      <c r="R139" s="1319"/>
      <c r="S139" s="1319"/>
      <c r="T139" s="1319"/>
      <c r="U139" s="1319"/>
      <c r="V139" s="1319"/>
      <c r="W139" s="1319"/>
      <c r="X139" s="1319"/>
      <c r="Y139" s="1319"/>
      <c r="Z139" s="1319"/>
    </row>
    <row r="140" spans="1:26" ht="18.75" customHeight="1">
      <c r="A140" s="1319"/>
      <c r="B140" s="1344"/>
      <c r="C140" s="1319"/>
      <c r="D140" s="1344"/>
      <c r="E140" s="1319"/>
      <c r="F140" s="1319"/>
      <c r="G140" s="1319"/>
      <c r="H140" s="1319"/>
      <c r="I140" s="1319"/>
      <c r="J140" s="1319"/>
      <c r="K140" s="1319"/>
      <c r="L140" s="1319"/>
      <c r="M140" s="1319"/>
      <c r="N140" s="1319"/>
      <c r="O140" s="1319"/>
      <c r="P140" s="1319"/>
      <c r="Q140" s="1319"/>
      <c r="R140" s="1319"/>
      <c r="S140" s="1319"/>
      <c r="T140" s="1319"/>
      <c r="U140" s="1319"/>
      <c r="V140" s="1319"/>
      <c r="W140" s="1319"/>
      <c r="X140" s="1319"/>
      <c r="Y140" s="1319"/>
      <c r="Z140" s="1319"/>
    </row>
    <row r="141" spans="1:26" ht="18.75" customHeight="1">
      <c r="A141" s="1319"/>
      <c r="B141" s="1344"/>
      <c r="C141" s="1319"/>
      <c r="D141" s="1344"/>
      <c r="E141" s="1319"/>
      <c r="F141" s="1319"/>
      <c r="G141" s="1319"/>
      <c r="H141" s="1319"/>
      <c r="I141" s="1319"/>
      <c r="J141" s="1319"/>
      <c r="K141" s="1319"/>
      <c r="L141" s="1319"/>
      <c r="M141" s="1319"/>
      <c r="N141" s="1319"/>
      <c r="O141" s="1319"/>
      <c r="P141" s="1319"/>
      <c r="Q141" s="1319"/>
      <c r="R141" s="1319"/>
      <c r="S141" s="1319"/>
      <c r="T141" s="1319"/>
      <c r="U141" s="1319"/>
      <c r="V141" s="1319"/>
      <c r="W141" s="1319"/>
      <c r="X141" s="1319"/>
      <c r="Y141" s="1319"/>
      <c r="Z141" s="1319"/>
    </row>
    <row r="142" spans="1:26" ht="18.75" customHeight="1">
      <c r="A142" s="1319"/>
      <c r="B142" s="1344"/>
      <c r="C142" s="1319"/>
      <c r="D142" s="1344"/>
      <c r="E142" s="1319"/>
      <c r="F142" s="1319"/>
      <c r="G142" s="1319"/>
      <c r="H142" s="1319"/>
      <c r="I142" s="1319"/>
      <c r="J142" s="1319"/>
      <c r="K142" s="1319"/>
      <c r="L142" s="1319"/>
      <c r="M142" s="1319"/>
      <c r="N142" s="1319"/>
      <c r="O142" s="1319"/>
      <c r="P142" s="1319"/>
      <c r="Q142" s="1319"/>
      <c r="R142" s="1319"/>
      <c r="S142" s="1319"/>
      <c r="T142" s="1319"/>
      <c r="U142" s="1319"/>
      <c r="V142" s="1319"/>
      <c r="W142" s="1319"/>
      <c r="X142" s="1319"/>
      <c r="Y142" s="1319"/>
      <c r="Z142" s="1319"/>
    </row>
    <row r="143" spans="1:26" ht="18.75" customHeight="1">
      <c r="A143" s="1319"/>
      <c r="B143" s="1344"/>
      <c r="C143" s="1319"/>
      <c r="D143" s="1344"/>
      <c r="E143" s="1319"/>
      <c r="F143" s="1319"/>
      <c r="G143" s="1319"/>
      <c r="H143" s="1319"/>
      <c r="I143" s="1319"/>
      <c r="J143" s="1319"/>
      <c r="K143" s="1319"/>
      <c r="L143" s="1319"/>
      <c r="M143" s="1319"/>
      <c r="N143" s="1319"/>
      <c r="O143" s="1319"/>
      <c r="P143" s="1319"/>
      <c r="Q143" s="1319"/>
      <c r="R143" s="1319"/>
      <c r="S143" s="1319"/>
      <c r="T143" s="1319"/>
      <c r="U143" s="1319"/>
      <c r="V143" s="1319"/>
      <c r="W143" s="1319"/>
      <c r="X143" s="1319"/>
      <c r="Y143" s="1319"/>
      <c r="Z143" s="1319"/>
    </row>
    <row r="144" spans="1:26" ht="18.75" customHeight="1">
      <c r="A144" s="1319"/>
      <c r="B144" s="1344"/>
      <c r="C144" s="1319"/>
      <c r="D144" s="1344"/>
      <c r="E144" s="1319"/>
      <c r="F144" s="1319"/>
      <c r="G144" s="1319"/>
      <c r="H144" s="1319"/>
      <c r="I144" s="1319"/>
      <c r="J144" s="1319"/>
      <c r="K144" s="1319"/>
      <c r="L144" s="1319"/>
      <c r="M144" s="1319"/>
      <c r="N144" s="1319"/>
      <c r="O144" s="1319"/>
      <c r="P144" s="1319"/>
      <c r="Q144" s="1319"/>
      <c r="R144" s="1319"/>
      <c r="S144" s="1319"/>
      <c r="T144" s="1319"/>
      <c r="U144" s="1319"/>
      <c r="V144" s="1319"/>
      <c r="W144" s="1319"/>
      <c r="X144" s="1319"/>
      <c r="Y144" s="1319"/>
      <c r="Z144" s="1319"/>
    </row>
    <row r="145" spans="1:26" ht="18.75" customHeight="1">
      <c r="A145" s="1319"/>
      <c r="B145" s="1344"/>
      <c r="C145" s="1319"/>
      <c r="D145" s="1344"/>
      <c r="E145" s="1319"/>
      <c r="F145" s="1319"/>
      <c r="G145" s="1319"/>
      <c r="H145" s="1319"/>
      <c r="I145" s="1319"/>
      <c r="J145" s="1319"/>
      <c r="K145" s="1319"/>
      <c r="L145" s="1319"/>
      <c r="M145" s="1319"/>
      <c r="N145" s="1319"/>
      <c r="O145" s="1319"/>
      <c r="P145" s="1319"/>
      <c r="Q145" s="1319"/>
      <c r="R145" s="1319"/>
      <c r="S145" s="1319"/>
      <c r="T145" s="1319"/>
      <c r="U145" s="1319"/>
      <c r="V145" s="1319"/>
      <c r="W145" s="1319"/>
      <c r="X145" s="1319"/>
      <c r="Y145" s="1319"/>
      <c r="Z145" s="1319"/>
    </row>
    <row r="146" spans="1:26" ht="18.75" customHeight="1">
      <c r="A146" s="1319"/>
      <c r="B146" s="1344"/>
      <c r="C146" s="1319"/>
      <c r="D146" s="1344"/>
      <c r="E146" s="1319"/>
      <c r="F146" s="1319"/>
      <c r="G146" s="1319"/>
      <c r="H146" s="1319"/>
      <c r="I146" s="1319"/>
      <c r="J146" s="1319"/>
      <c r="K146" s="1319"/>
      <c r="L146" s="1319"/>
      <c r="M146" s="1319"/>
      <c r="N146" s="1319"/>
      <c r="O146" s="1319"/>
      <c r="P146" s="1319"/>
      <c r="Q146" s="1319"/>
      <c r="R146" s="1319"/>
      <c r="S146" s="1319"/>
      <c r="T146" s="1319"/>
      <c r="U146" s="1319"/>
      <c r="V146" s="1319"/>
      <c r="W146" s="1319"/>
      <c r="X146" s="1319"/>
      <c r="Y146" s="1319"/>
      <c r="Z146" s="1319"/>
    </row>
    <row r="147" spans="1:26" ht="18.75" customHeight="1">
      <c r="A147" s="1319"/>
      <c r="B147" s="1344"/>
      <c r="C147" s="1319"/>
      <c r="D147" s="1344"/>
      <c r="E147" s="1319"/>
      <c r="F147" s="1319"/>
      <c r="G147" s="1319"/>
      <c r="H147" s="1319"/>
      <c r="I147" s="1319"/>
      <c r="J147" s="1319"/>
      <c r="K147" s="1319"/>
      <c r="L147" s="1319"/>
      <c r="M147" s="1319"/>
      <c r="N147" s="1319"/>
      <c r="O147" s="1319"/>
      <c r="P147" s="1319"/>
      <c r="Q147" s="1319"/>
      <c r="R147" s="1319"/>
      <c r="S147" s="1319"/>
      <c r="T147" s="1319"/>
      <c r="U147" s="1319"/>
      <c r="V147" s="1319"/>
      <c r="W147" s="1319"/>
      <c r="X147" s="1319"/>
      <c r="Y147" s="1319"/>
      <c r="Z147" s="1319"/>
    </row>
    <row r="148" spans="1:26" ht="18.75" customHeight="1">
      <c r="A148" s="1319"/>
      <c r="B148" s="1344"/>
      <c r="C148" s="1319"/>
      <c r="D148" s="1344"/>
      <c r="E148" s="1319"/>
      <c r="F148" s="1319"/>
      <c r="G148" s="1319"/>
      <c r="H148" s="1319"/>
      <c r="I148" s="1319"/>
      <c r="J148" s="1319"/>
      <c r="K148" s="1319"/>
      <c r="L148" s="1319"/>
      <c r="M148" s="1319"/>
      <c r="N148" s="1319"/>
      <c r="O148" s="1319"/>
      <c r="P148" s="1319"/>
      <c r="Q148" s="1319"/>
      <c r="R148" s="1319"/>
      <c r="S148" s="1319"/>
      <c r="T148" s="1319"/>
      <c r="U148" s="1319"/>
      <c r="V148" s="1319"/>
      <c r="W148" s="1319"/>
      <c r="X148" s="1319"/>
      <c r="Y148" s="1319"/>
      <c r="Z148" s="1319"/>
    </row>
    <row r="149" spans="1:26" ht="18.75" customHeight="1">
      <c r="A149" s="1319"/>
      <c r="B149" s="1344"/>
      <c r="C149" s="1319"/>
      <c r="D149" s="1344"/>
      <c r="E149" s="1319"/>
      <c r="F149" s="1319"/>
      <c r="G149" s="1319"/>
      <c r="H149" s="1319"/>
      <c r="I149" s="1319"/>
      <c r="J149" s="1319"/>
      <c r="K149" s="1319"/>
      <c r="L149" s="1319"/>
      <c r="M149" s="1319"/>
      <c r="N149" s="1319"/>
      <c r="O149" s="1319"/>
      <c r="P149" s="1319"/>
      <c r="Q149" s="1319"/>
      <c r="R149" s="1319"/>
      <c r="S149" s="1319"/>
      <c r="T149" s="1319"/>
      <c r="U149" s="1319"/>
      <c r="V149" s="1319"/>
      <c r="W149" s="1319"/>
      <c r="X149" s="1319"/>
      <c r="Y149" s="1319"/>
      <c r="Z149" s="1319"/>
    </row>
    <row r="150" spans="1:26" ht="18.75" customHeight="1">
      <c r="A150" s="1319"/>
      <c r="B150" s="1344"/>
      <c r="C150" s="1319"/>
      <c r="D150" s="1344"/>
      <c r="E150" s="1319"/>
      <c r="F150" s="1319"/>
      <c r="G150" s="1319"/>
      <c r="H150" s="1319"/>
      <c r="I150" s="1319"/>
      <c r="J150" s="1319"/>
      <c r="K150" s="1319"/>
      <c r="L150" s="1319"/>
      <c r="M150" s="1319"/>
      <c r="N150" s="1319"/>
      <c r="O150" s="1319"/>
      <c r="P150" s="1319"/>
      <c r="Q150" s="1319"/>
      <c r="R150" s="1319"/>
      <c r="S150" s="1319"/>
      <c r="T150" s="1319"/>
      <c r="U150" s="1319"/>
      <c r="V150" s="1319"/>
      <c r="W150" s="1319"/>
      <c r="X150" s="1319"/>
      <c r="Y150" s="1319"/>
      <c r="Z150" s="1319"/>
    </row>
    <row r="151" spans="1:26" ht="18.75" customHeight="1">
      <c r="A151" s="1319"/>
      <c r="B151" s="1344"/>
      <c r="C151" s="1319"/>
      <c r="D151" s="1344"/>
      <c r="E151" s="1319"/>
      <c r="F151" s="1319"/>
      <c r="G151" s="1319"/>
      <c r="H151" s="1319"/>
      <c r="I151" s="1319"/>
      <c r="J151" s="1319"/>
      <c r="K151" s="1319"/>
      <c r="L151" s="1319"/>
      <c r="M151" s="1319"/>
      <c r="N151" s="1319"/>
      <c r="O151" s="1319"/>
      <c r="P151" s="1319"/>
      <c r="Q151" s="1319"/>
      <c r="R151" s="1319"/>
      <c r="S151" s="1319"/>
      <c r="T151" s="1319"/>
      <c r="U151" s="1319"/>
      <c r="V151" s="1319"/>
      <c r="W151" s="1319"/>
      <c r="X151" s="1319"/>
      <c r="Y151" s="1319"/>
      <c r="Z151" s="1319"/>
    </row>
    <row r="152" spans="1:26" ht="18.75" customHeight="1">
      <c r="A152" s="1319"/>
      <c r="B152" s="1344"/>
      <c r="C152" s="1319"/>
      <c r="D152" s="1344"/>
      <c r="E152" s="1319"/>
      <c r="F152" s="1319"/>
      <c r="G152" s="1319"/>
      <c r="H152" s="1319"/>
      <c r="I152" s="1319"/>
      <c r="J152" s="1319"/>
      <c r="K152" s="1319"/>
      <c r="L152" s="1319"/>
      <c r="M152" s="1319"/>
      <c r="N152" s="1319"/>
      <c r="O152" s="1319"/>
      <c r="P152" s="1319"/>
      <c r="Q152" s="1319"/>
      <c r="R152" s="1319"/>
      <c r="S152" s="1319"/>
      <c r="T152" s="1319"/>
      <c r="U152" s="1319"/>
      <c r="V152" s="1319"/>
      <c r="W152" s="1319"/>
      <c r="X152" s="1319"/>
      <c r="Y152" s="1319"/>
      <c r="Z152" s="1319"/>
    </row>
    <row r="153" spans="1:26" ht="18.75" customHeight="1">
      <c r="A153" s="1319"/>
      <c r="B153" s="1344"/>
      <c r="C153" s="1319"/>
      <c r="D153" s="1344"/>
      <c r="E153" s="1319"/>
      <c r="F153" s="1319"/>
      <c r="G153" s="1319"/>
      <c r="H153" s="1319"/>
      <c r="I153" s="1319"/>
      <c r="J153" s="1319"/>
      <c r="K153" s="1319"/>
      <c r="L153" s="1319"/>
      <c r="M153" s="1319"/>
      <c r="N153" s="1319"/>
      <c r="O153" s="1319"/>
      <c r="P153" s="1319"/>
      <c r="Q153" s="1319"/>
      <c r="R153" s="1319"/>
      <c r="S153" s="1319"/>
      <c r="T153" s="1319"/>
      <c r="U153" s="1319"/>
      <c r="V153" s="1319"/>
      <c r="W153" s="1319"/>
      <c r="X153" s="1319"/>
      <c r="Y153" s="1319"/>
      <c r="Z153" s="1319"/>
    </row>
    <row r="154" spans="1:26" ht="18.75" customHeight="1">
      <c r="A154" s="1319"/>
      <c r="B154" s="1344"/>
      <c r="C154" s="1319"/>
      <c r="D154" s="1344"/>
      <c r="E154" s="1319"/>
      <c r="F154" s="1319"/>
      <c r="G154" s="1319"/>
      <c r="H154" s="1319"/>
      <c r="I154" s="1319"/>
      <c r="J154" s="1319"/>
      <c r="K154" s="1319"/>
      <c r="L154" s="1319"/>
      <c r="M154" s="1319"/>
      <c r="N154" s="1319"/>
      <c r="O154" s="1319"/>
      <c r="P154" s="1319"/>
      <c r="Q154" s="1319"/>
      <c r="R154" s="1319"/>
      <c r="S154" s="1319"/>
      <c r="T154" s="1319"/>
      <c r="U154" s="1319"/>
      <c r="V154" s="1319"/>
      <c r="W154" s="1319"/>
      <c r="X154" s="1319"/>
      <c r="Y154" s="1319"/>
      <c r="Z154" s="1319"/>
    </row>
    <row r="155" spans="1:26" ht="18.75" customHeight="1">
      <c r="A155" s="1319"/>
      <c r="B155" s="1344"/>
      <c r="C155" s="1319"/>
      <c r="D155" s="1344"/>
      <c r="E155" s="1319"/>
      <c r="F155" s="1319"/>
      <c r="G155" s="1319"/>
      <c r="H155" s="1319"/>
      <c r="I155" s="1319"/>
      <c r="J155" s="1319"/>
      <c r="K155" s="1319"/>
      <c r="L155" s="1319"/>
      <c r="M155" s="1319"/>
      <c r="N155" s="1319"/>
      <c r="O155" s="1319"/>
      <c r="P155" s="1319"/>
      <c r="Q155" s="1319"/>
      <c r="R155" s="1319"/>
      <c r="S155" s="1319"/>
      <c r="T155" s="1319"/>
      <c r="U155" s="1319"/>
      <c r="V155" s="1319"/>
      <c r="W155" s="1319"/>
      <c r="X155" s="1319"/>
      <c r="Y155" s="1319"/>
      <c r="Z155" s="1319"/>
    </row>
    <row r="156" spans="1:26" ht="18.75" customHeight="1">
      <c r="A156" s="1319"/>
      <c r="B156" s="1344"/>
      <c r="C156" s="1319"/>
      <c r="D156" s="1344"/>
      <c r="E156" s="1319"/>
      <c r="F156" s="1319"/>
      <c r="G156" s="1319"/>
      <c r="H156" s="1319"/>
      <c r="I156" s="1319"/>
      <c r="J156" s="1319"/>
      <c r="K156" s="1319"/>
      <c r="L156" s="1319"/>
      <c r="M156" s="1319"/>
      <c r="N156" s="1319"/>
      <c r="O156" s="1319"/>
      <c r="P156" s="1319"/>
      <c r="Q156" s="1319"/>
      <c r="R156" s="1319"/>
      <c r="S156" s="1319"/>
      <c r="T156" s="1319"/>
      <c r="U156" s="1319"/>
      <c r="V156" s="1319"/>
      <c r="W156" s="1319"/>
      <c r="X156" s="1319"/>
      <c r="Y156" s="1319"/>
      <c r="Z156" s="1319"/>
    </row>
    <row r="157" spans="1:26" ht="18.75" customHeight="1">
      <c r="A157" s="1319"/>
      <c r="B157" s="1344"/>
      <c r="C157" s="1319"/>
      <c r="D157" s="1344"/>
      <c r="E157" s="1319"/>
      <c r="F157" s="1319"/>
      <c r="G157" s="1319"/>
      <c r="H157" s="1319"/>
      <c r="I157" s="1319"/>
      <c r="J157" s="1319"/>
      <c r="K157" s="1319"/>
      <c r="L157" s="1319"/>
      <c r="M157" s="1319"/>
      <c r="N157" s="1319"/>
      <c r="O157" s="1319"/>
      <c r="P157" s="1319"/>
      <c r="Q157" s="1319"/>
      <c r="R157" s="1319"/>
      <c r="S157" s="1319"/>
      <c r="T157" s="1319"/>
      <c r="U157" s="1319"/>
      <c r="V157" s="1319"/>
      <c r="W157" s="1319"/>
      <c r="X157" s="1319"/>
      <c r="Y157" s="1319"/>
      <c r="Z157" s="1319"/>
    </row>
    <row r="158" spans="1:26" ht="18.75" customHeight="1">
      <c r="A158" s="1319"/>
      <c r="B158" s="1344"/>
      <c r="C158" s="1319"/>
      <c r="D158" s="1344"/>
      <c r="E158" s="1319"/>
      <c r="F158" s="1319"/>
      <c r="G158" s="1319"/>
      <c r="H158" s="1319"/>
      <c r="I158" s="1319"/>
      <c r="J158" s="1319"/>
      <c r="K158" s="1319"/>
      <c r="L158" s="1319"/>
      <c r="M158" s="1319"/>
      <c r="N158" s="1319"/>
      <c r="O158" s="1319"/>
      <c r="P158" s="1319"/>
      <c r="Q158" s="1319"/>
      <c r="R158" s="1319"/>
      <c r="S158" s="1319"/>
      <c r="T158" s="1319"/>
      <c r="U158" s="1319"/>
      <c r="V158" s="1319"/>
      <c r="W158" s="1319"/>
      <c r="X158" s="1319"/>
      <c r="Y158" s="1319"/>
      <c r="Z158" s="1319"/>
    </row>
    <row r="159" spans="1:26" ht="18.75" customHeight="1">
      <c r="A159" s="1319"/>
      <c r="B159" s="1344"/>
      <c r="C159" s="1319"/>
      <c r="D159" s="1344"/>
      <c r="E159" s="1319"/>
      <c r="F159" s="1319"/>
      <c r="G159" s="1319"/>
      <c r="H159" s="1319"/>
      <c r="I159" s="1319"/>
      <c r="J159" s="1319"/>
      <c r="K159" s="1319"/>
      <c r="L159" s="1319"/>
      <c r="M159" s="1319"/>
      <c r="N159" s="1319"/>
      <c r="O159" s="1319"/>
      <c r="P159" s="1319"/>
      <c r="Q159" s="1319"/>
      <c r="R159" s="1319"/>
      <c r="S159" s="1319"/>
      <c r="T159" s="1319"/>
      <c r="U159" s="1319"/>
      <c r="V159" s="1319"/>
      <c r="W159" s="1319"/>
      <c r="X159" s="1319"/>
      <c r="Y159" s="1319"/>
      <c r="Z159" s="1319"/>
    </row>
    <row r="160" spans="1:26" ht="18.75" customHeight="1">
      <c r="A160" s="1319"/>
      <c r="B160" s="1344"/>
      <c r="C160" s="1319"/>
      <c r="D160" s="1344"/>
      <c r="E160" s="1319"/>
      <c r="F160" s="1319"/>
      <c r="G160" s="1319"/>
      <c r="H160" s="1319"/>
      <c r="I160" s="1319"/>
      <c r="J160" s="1319"/>
      <c r="K160" s="1319"/>
      <c r="L160" s="1319"/>
      <c r="M160" s="1319"/>
      <c r="N160" s="1319"/>
      <c r="O160" s="1319"/>
      <c r="P160" s="1319"/>
      <c r="Q160" s="1319"/>
      <c r="R160" s="1319"/>
      <c r="S160" s="1319"/>
      <c r="T160" s="1319"/>
      <c r="U160" s="1319"/>
      <c r="V160" s="1319"/>
      <c r="W160" s="1319"/>
      <c r="X160" s="1319"/>
      <c r="Y160" s="1319"/>
      <c r="Z160" s="1319"/>
    </row>
    <row r="161" spans="1:26" ht="18.75" customHeight="1">
      <c r="A161" s="1319"/>
      <c r="B161" s="1344"/>
      <c r="C161" s="1319"/>
      <c r="D161" s="1344"/>
      <c r="E161" s="1319"/>
      <c r="F161" s="1319"/>
      <c r="G161" s="1319"/>
      <c r="H161" s="1319"/>
      <c r="I161" s="1319"/>
      <c r="J161" s="1319"/>
      <c r="K161" s="1319"/>
      <c r="L161" s="1319"/>
      <c r="M161" s="1319"/>
      <c r="N161" s="1319"/>
      <c r="O161" s="1319"/>
      <c r="P161" s="1319"/>
      <c r="Q161" s="1319"/>
      <c r="R161" s="1319"/>
      <c r="S161" s="1319"/>
      <c r="T161" s="1319"/>
      <c r="U161" s="1319"/>
      <c r="V161" s="1319"/>
      <c r="W161" s="1319"/>
      <c r="X161" s="1319"/>
      <c r="Y161" s="1319"/>
      <c r="Z161" s="1319"/>
    </row>
    <row r="162" spans="1:26" ht="18.75" customHeight="1">
      <c r="A162" s="1319"/>
      <c r="B162" s="1344"/>
      <c r="C162" s="1319"/>
      <c r="D162" s="1344"/>
      <c r="E162" s="1319"/>
      <c r="F162" s="1319"/>
      <c r="G162" s="1319"/>
      <c r="H162" s="1319"/>
      <c r="I162" s="1319"/>
      <c r="J162" s="1319"/>
      <c r="K162" s="1319"/>
      <c r="L162" s="1319"/>
      <c r="M162" s="1319"/>
      <c r="N162" s="1319"/>
      <c r="O162" s="1319"/>
      <c r="P162" s="1319"/>
      <c r="Q162" s="1319"/>
      <c r="R162" s="1319"/>
      <c r="S162" s="1319"/>
      <c r="T162" s="1319"/>
      <c r="U162" s="1319"/>
      <c r="V162" s="1319"/>
      <c r="W162" s="1319"/>
      <c r="X162" s="1319"/>
      <c r="Y162" s="1319"/>
      <c r="Z162" s="1319"/>
    </row>
    <row r="163" spans="1:26" ht="18.75" customHeight="1">
      <c r="A163" s="1319"/>
      <c r="B163" s="1344"/>
      <c r="C163" s="1319"/>
      <c r="D163" s="1344"/>
      <c r="E163" s="1319"/>
      <c r="F163" s="1319"/>
      <c r="G163" s="1319"/>
      <c r="H163" s="1319"/>
      <c r="I163" s="1319"/>
      <c r="J163" s="1319"/>
      <c r="K163" s="1319"/>
      <c r="L163" s="1319"/>
      <c r="M163" s="1319"/>
      <c r="N163" s="1319"/>
      <c r="O163" s="1319"/>
      <c r="P163" s="1319"/>
      <c r="Q163" s="1319"/>
      <c r="R163" s="1319"/>
      <c r="S163" s="1319"/>
      <c r="T163" s="1319"/>
      <c r="U163" s="1319"/>
      <c r="V163" s="1319"/>
      <c r="W163" s="1319"/>
      <c r="X163" s="1319"/>
      <c r="Y163" s="1319"/>
      <c r="Z163" s="1319"/>
    </row>
    <row r="164" spans="1:26" ht="18.75" customHeight="1">
      <c r="A164" s="1319"/>
      <c r="B164" s="1344"/>
      <c r="C164" s="1319"/>
      <c r="D164" s="1344"/>
      <c r="E164" s="1319"/>
      <c r="F164" s="1319"/>
      <c r="G164" s="1319"/>
      <c r="H164" s="1319"/>
      <c r="I164" s="1319"/>
      <c r="J164" s="1319"/>
      <c r="K164" s="1319"/>
      <c r="L164" s="1319"/>
      <c r="M164" s="1319"/>
      <c r="N164" s="1319"/>
      <c r="O164" s="1319"/>
      <c r="P164" s="1319"/>
      <c r="Q164" s="1319"/>
      <c r="R164" s="1319"/>
      <c r="S164" s="1319"/>
      <c r="T164" s="1319"/>
      <c r="U164" s="1319"/>
      <c r="V164" s="1319"/>
      <c r="W164" s="1319"/>
      <c r="X164" s="1319"/>
      <c r="Y164" s="1319"/>
      <c r="Z164" s="1319"/>
    </row>
    <row r="165" spans="1:26" ht="18.75" customHeight="1">
      <c r="A165" s="1319"/>
      <c r="B165" s="1344"/>
      <c r="C165" s="1319"/>
      <c r="D165" s="1344"/>
      <c r="E165" s="1319"/>
      <c r="F165" s="1319"/>
      <c r="G165" s="1319"/>
      <c r="H165" s="1319"/>
      <c r="I165" s="1319"/>
      <c r="J165" s="1319"/>
      <c r="K165" s="1319"/>
      <c r="L165" s="1319"/>
      <c r="M165" s="1319"/>
      <c r="N165" s="1319"/>
      <c r="O165" s="1319"/>
      <c r="P165" s="1319"/>
      <c r="Q165" s="1319"/>
      <c r="R165" s="1319"/>
      <c r="S165" s="1319"/>
      <c r="T165" s="1319"/>
      <c r="U165" s="1319"/>
      <c r="V165" s="1319"/>
      <c r="W165" s="1319"/>
      <c r="X165" s="1319"/>
      <c r="Y165" s="1319"/>
      <c r="Z165" s="1319"/>
    </row>
    <row r="166" spans="1:26" ht="18.75" customHeight="1">
      <c r="A166" s="1319"/>
      <c r="B166" s="1344"/>
      <c r="C166" s="1319"/>
      <c r="D166" s="1344"/>
      <c r="E166" s="1319"/>
      <c r="F166" s="1319"/>
      <c r="G166" s="1319"/>
      <c r="H166" s="1319"/>
      <c r="I166" s="1319"/>
      <c r="J166" s="1319"/>
      <c r="K166" s="1319"/>
      <c r="L166" s="1319"/>
      <c r="M166" s="1319"/>
      <c r="N166" s="1319"/>
      <c r="O166" s="1319"/>
      <c r="P166" s="1319"/>
      <c r="Q166" s="1319"/>
      <c r="R166" s="1319"/>
      <c r="S166" s="1319"/>
      <c r="T166" s="1319"/>
      <c r="U166" s="1319"/>
      <c r="V166" s="1319"/>
      <c r="W166" s="1319"/>
      <c r="X166" s="1319"/>
      <c r="Y166" s="1319"/>
      <c r="Z166" s="1319"/>
    </row>
    <row r="167" spans="1:26" ht="18.75" customHeight="1">
      <c r="A167" s="1319"/>
      <c r="B167" s="1344"/>
      <c r="C167" s="1319"/>
      <c r="D167" s="1344"/>
      <c r="E167" s="1319"/>
      <c r="F167" s="1319"/>
      <c r="G167" s="1319"/>
      <c r="H167" s="1319"/>
      <c r="I167" s="1319"/>
      <c r="J167" s="1319"/>
      <c r="K167" s="1319"/>
      <c r="L167" s="1319"/>
      <c r="M167" s="1319"/>
      <c r="N167" s="1319"/>
      <c r="O167" s="1319"/>
      <c r="P167" s="1319"/>
      <c r="Q167" s="1319"/>
      <c r="R167" s="1319"/>
      <c r="S167" s="1319"/>
      <c r="T167" s="1319"/>
      <c r="U167" s="1319"/>
      <c r="V167" s="1319"/>
      <c r="W167" s="1319"/>
      <c r="X167" s="1319"/>
      <c r="Y167" s="1319"/>
      <c r="Z167" s="1319"/>
    </row>
    <row r="168" spans="1:26" ht="18.75" customHeight="1">
      <c r="A168" s="1319"/>
      <c r="B168" s="1344"/>
      <c r="C168" s="1319"/>
      <c r="D168" s="1344"/>
      <c r="E168" s="1319"/>
      <c r="F168" s="1319"/>
      <c r="G168" s="1319"/>
      <c r="H168" s="1319"/>
      <c r="I168" s="1319"/>
      <c r="J168" s="1319"/>
      <c r="K168" s="1319"/>
      <c r="L168" s="1319"/>
      <c r="M168" s="1319"/>
      <c r="N168" s="1319"/>
      <c r="O168" s="1319"/>
      <c r="P168" s="1319"/>
      <c r="Q168" s="1319"/>
      <c r="R168" s="1319"/>
      <c r="S168" s="1319"/>
      <c r="T168" s="1319"/>
      <c r="U168" s="1319"/>
      <c r="V168" s="1319"/>
      <c r="W168" s="1319"/>
      <c r="X168" s="1319"/>
      <c r="Y168" s="1319"/>
      <c r="Z168" s="1319"/>
    </row>
    <row r="169" spans="1:26" ht="18.75" customHeight="1">
      <c r="A169" s="1319"/>
      <c r="B169" s="1344"/>
      <c r="C169" s="1319"/>
      <c r="D169" s="1344"/>
      <c r="E169" s="1319"/>
      <c r="F169" s="1319"/>
      <c r="G169" s="1319"/>
      <c r="H169" s="1319"/>
      <c r="I169" s="1319"/>
      <c r="J169" s="1319"/>
      <c r="K169" s="1319"/>
      <c r="L169" s="1319"/>
      <c r="M169" s="1319"/>
      <c r="N169" s="1319"/>
      <c r="O169" s="1319"/>
      <c r="P169" s="1319"/>
      <c r="Q169" s="1319"/>
      <c r="R169" s="1319"/>
      <c r="S169" s="1319"/>
      <c r="T169" s="1319"/>
      <c r="U169" s="1319"/>
      <c r="V169" s="1319"/>
      <c r="W169" s="1319"/>
      <c r="X169" s="1319"/>
      <c r="Y169" s="1319"/>
      <c r="Z169" s="1319"/>
    </row>
    <row r="170" spans="1:26" ht="18.75" customHeight="1">
      <c r="A170" s="1319"/>
      <c r="B170" s="1344"/>
      <c r="C170" s="1319"/>
      <c r="D170" s="1344"/>
      <c r="E170" s="1319"/>
      <c r="F170" s="1319"/>
      <c r="G170" s="1319"/>
      <c r="H170" s="1319"/>
      <c r="I170" s="1319"/>
      <c r="J170" s="1319"/>
      <c r="K170" s="1319"/>
      <c r="L170" s="1319"/>
      <c r="M170" s="1319"/>
      <c r="N170" s="1319"/>
      <c r="O170" s="1319"/>
      <c r="P170" s="1319"/>
      <c r="Q170" s="1319"/>
      <c r="R170" s="1319"/>
      <c r="S170" s="1319"/>
      <c r="T170" s="1319"/>
      <c r="U170" s="1319"/>
      <c r="V170" s="1319"/>
      <c r="W170" s="1319"/>
      <c r="X170" s="1319"/>
      <c r="Y170" s="1319"/>
      <c r="Z170" s="1319"/>
    </row>
    <row r="171" spans="1:26" ht="18.75" customHeight="1">
      <c r="A171" s="1319"/>
      <c r="B171" s="1344"/>
      <c r="C171" s="1319"/>
      <c r="D171" s="1344"/>
      <c r="E171" s="1319"/>
      <c r="F171" s="1319"/>
      <c r="G171" s="1319"/>
      <c r="H171" s="1319"/>
      <c r="I171" s="1319"/>
      <c r="J171" s="1319"/>
      <c r="K171" s="1319"/>
      <c r="L171" s="1319"/>
      <c r="M171" s="1319"/>
      <c r="N171" s="1319"/>
      <c r="O171" s="1319"/>
      <c r="P171" s="1319"/>
      <c r="Q171" s="1319"/>
      <c r="R171" s="1319"/>
      <c r="S171" s="1319"/>
      <c r="T171" s="1319"/>
      <c r="U171" s="1319"/>
      <c r="V171" s="1319"/>
      <c r="W171" s="1319"/>
      <c r="X171" s="1319"/>
      <c r="Y171" s="1319"/>
      <c r="Z171" s="1319"/>
    </row>
    <row r="172" spans="1:26" ht="18.75" customHeight="1">
      <c r="A172" s="1319"/>
      <c r="B172" s="1344"/>
      <c r="C172" s="1319"/>
      <c r="D172" s="1344"/>
      <c r="E172" s="1319"/>
      <c r="F172" s="1319"/>
      <c r="G172" s="1319"/>
      <c r="H172" s="1319"/>
      <c r="I172" s="1319"/>
      <c r="J172" s="1319"/>
      <c r="K172" s="1319"/>
      <c r="L172" s="1319"/>
      <c r="M172" s="1319"/>
      <c r="N172" s="1319"/>
      <c r="O172" s="1319"/>
      <c r="P172" s="1319"/>
      <c r="Q172" s="1319"/>
      <c r="R172" s="1319"/>
      <c r="S172" s="1319"/>
      <c r="T172" s="1319"/>
      <c r="U172" s="1319"/>
      <c r="V172" s="1319"/>
      <c r="W172" s="1319"/>
      <c r="X172" s="1319"/>
      <c r="Y172" s="1319"/>
      <c r="Z172" s="1319"/>
    </row>
    <row r="173" spans="1:26" ht="18.75" customHeight="1">
      <c r="A173" s="1319"/>
      <c r="B173" s="1344"/>
      <c r="C173" s="1319"/>
      <c r="D173" s="1344"/>
      <c r="E173" s="1319"/>
      <c r="F173" s="1319"/>
      <c r="G173" s="1319"/>
      <c r="H173" s="1319"/>
      <c r="I173" s="1319"/>
      <c r="J173" s="1319"/>
      <c r="K173" s="1319"/>
      <c r="L173" s="1319"/>
      <c r="M173" s="1319"/>
      <c r="N173" s="1319"/>
      <c r="O173" s="1319"/>
      <c r="P173" s="1319"/>
      <c r="Q173" s="1319"/>
      <c r="R173" s="1319"/>
      <c r="S173" s="1319"/>
      <c r="T173" s="1319"/>
      <c r="U173" s="1319"/>
      <c r="V173" s="1319"/>
      <c r="W173" s="1319"/>
      <c r="X173" s="1319"/>
      <c r="Y173" s="1319"/>
      <c r="Z173" s="1319"/>
    </row>
    <row r="174" spans="1:26" ht="18.75" customHeight="1">
      <c r="A174" s="1319"/>
      <c r="B174" s="1344"/>
      <c r="C174" s="1319"/>
      <c r="D174" s="1344"/>
      <c r="E174" s="1319"/>
      <c r="F174" s="1319"/>
      <c r="G174" s="1319"/>
      <c r="H174" s="1319"/>
      <c r="I174" s="1319"/>
      <c r="J174" s="1319"/>
      <c r="K174" s="1319"/>
      <c r="L174" s="1319"/>
      <c r="M174" s="1319"/>
      <c r="N174" s="1319"/>
      <c r="O174" s="1319"/>
      <c r="P174" s="1319"/>
      <c r="Q174" s="1319"/>
      <c r="R174" s="1319"/>
      <c r="S174" s="1319"/>
      <c r="T174" s="1319"/>
      <c r="U174" s="1319"/>
      <c r="V174" s="1319"/>
      <c r="W174" s="1319"/>
      <c r="X174" s="1319"/>
      <c r="Y174" s="1319"/>
      <c r="Z174" s="1319"/>
    </row>
    <row r="175" spans="1:26" ht="18.75" customHeight="1">
      <c r="A175" s="1319"/>
      <c r="B175" s="1344"/>
      <c r="C175" s="1319"/>
      <c r="D175" s="1344"/>
      <c r="E175" s="1319"/>
      <c r="F175" s="1319"/>
      <c r="G175" s="1319"/>
      <c r="H175" s="1319"/>
      <c r="I175" s="1319"/>
      <c r="J175" s="1319"/>
      <c r="K175" s="1319"/>
      <c r="L175" s="1319"/>
      <c r="M175" s="1319"/>
      <c r="N175" s="1319"/>
      <c r="O175" s="1319"/>
      <c r="P175" s="1319"/>
      <c r="Q175" s="1319"/>
      <c r="R175" s="1319"/>
      <c r="S175" s="1319"/>
      <c r="T175" s="1319"/>
      <c r="U175" s="1319"/>
      <c r="V175" s="1319"/>
      <c r="W175" s="1319"/>
      <c r="X175" s="1319"/>
      <c r="Y175" s="1319"/>
      <c r="Z175" s="1319"/>
    </row>
    <row r="176" spans="1:26" ht="18.75" customHeight="1">
      <c r="A176" s="1319"/>
      <c r="B176" s="1344"/>
      <c r="C176" s="1319"/>
      <c r="D176" s="1344"/>
      <c r="E176" s="1319"/>
      <c r="F176" s="1319"/>
      <c r="G176" s="1319"/>
      <c r="H176" s="1319"/>
      <c r="I176" s="1319"/>
      <c r="J176" s="1319"/>
      <c r="K176" s="1319"/>
      <c r="L176" s="1319"/>
      <c r="M176" s="1319"/>
      <c r="N176" s="1319"/>
      <c r="O176" s="1319"/>
      <c r="P176" s="1319"/>
      <c r="Q176" s="1319"/>
      <c r="R176" s="1319"/>
      <c r="S176" s="1319"/>
      <c r="T176" s="1319"/>
      <c r="U176" s="1319"/>
      <c r="V176" s="1319"/>
      <c r="W176" s="1319"/>
      <c r="X176" s="1319"/>
      <c r="Y176" s="1319"/>
      <c r="Z176" s="1319"/>
    </row>
    <row r="177" spans="1:26" ht="18.75" customHeight="1">
      <c r="A177" s="1319"/>
      <c r="B177" s="1344"/>
      <c r="C177" s="1319"/>
      <c r="D177" s="1344"/>
      <c r="E177" s="1319"/>
      <c r="F177" s="1319"/>
      <c r="G177" s="1319"/>
      <c r="H177" s="1319"/>
      <c r="I177" s="1319"/>
      <c r="J177" s="1319"/>
      <c r="K177" s="1319"/>
      <c r="L177" s="1319"/>
      <c r="M177" s="1319"/>
      <c r="N177" s="1319"/>
      <c r="O177" s="1319"/>
      <c r="P177" s="1319"/>
      <c r="Q177" s="1319"/>
      <c r="R177" s="1319"/>
      <c r="S177" s="1319"/>
      <c r="T177" s="1319"/>
      <c r="U177" s="1319"/>
      <c r="V177" s="1319"/>
      <c r="W177" s="1319"/>
      <c r="X177" s="1319"/>
      <c r="Y177" s="1319"/>
      <c r="Z177" s="1319"/>
    </row>
    <row r="178" spans="1:26" ht="18.75" customHeight="1">
      <c r="A178" s="1319"/>
      <c r="B178" s="1344"/>
      <c r="C178" s="1319"/>
      <c r="D178" s="1344"/>
      <c r="E178" s="1319"/>
      <c r="F178" s="1319"/>
      <c r="G178" s="1319"/>
      <c r="H178" s="1319"/>
      <c r="I178" s="1319"/>
      <c r="J178" s="1319"/>
      <c r="K178" s="1319"/>
      <c r="L178" s="1319"/>
      <c r="M178" s="1319"/>
      <c r="N178" s="1319"/>
      <c r="O178" s="1319"/>
      <c r="P178" s="1319"/>
      <c r="Q178" s="1319"/>
      <c r="R178" s="1319"/>
      <c r="S178" s="1319"/>
      <c r="T178" s="1319"/>
      <c r="U178" s="1319"/>
      <c r="V178" s="1319"/>
      <c r="W178" s="1319"/>
      <c r="X178" s="1319"/>
      <c r="Y178" s="1319"/>
      <c r="Z178" s="1319"/>
    </row>
    <row r="179" spans="1:26" ht="18.75" customHeight="1">
      <c r="A179" s="1319"/>
      <c r="B179" s="1344"/>
      <c r="C179" s="1319"/>
      <c r="D179" s="1344"/>
      <c r="E179" s="1319"/>
      <c r="F179" s="1319"/>
      <c r="G179" s="1319"/>
      <c r="H179" s="1319"/>
      <c r="I179" s="1319"/>
      <c r="J179" s="1319"/>
      <c r="K179" s="1319"/>
      <c r="L179" s="1319"/>
      <c r="M179" s="1319"/>
      <c r="N179" s="1319"/>
      <c r="O179" s="1319"/>
      <c r="P179" s="1319"/>
      <c r="Q179" s="1319"/>
      <c r="R179" s="1319"/>
      <c r="S179" s="1319"/>
      <c r="T179" s="1319"/>
      <c r="U179" s="1319"/>
      <c r="V179" s="1319"/>
      <c r="W179" s="1319"/>
      <c r="X179" s="1319"/>
      <c r="Y179" s="1319"/>
      <c r="Z179" s="1319"/>
    </row>
    <row r="180" spans="1:26" ht="18.75" customHeight="1">
      <c r="A180" s="1319"/>
      <c r="B180" s="1344"/>
      <c r="C180" s="1319"/>
      <c r="D180" s="1344"/>
      <c r="E180" s="1319"/>
      <c r="F180" s="1319"/>
      <c r="G180" s="1319"/>
      <c r="H180" s="1319"/>
      <c r="I180" s="1319"/>
      <c r="J180" s="1319"/>
      <c r="K180" s="1319"/>
      <c r="L180" s="1319"/>
      <c r="M180" s="1319"/>
      <c r="N180" s="1319"/>
      <c r="O180" s="1319"/>
      <c r="P180" s="1319"/>
      <c r="Q180" s="1319"/>
      <c r="R180" s="1319"/>
      <c r="S180" s="1319"/>
      <c r="T180" s="1319"/>
      <c r="U180" s="1319"/>
      <c r="V180" s="1319"/>
      <c r="W180" s="1319"/>
      <c r="X180" s="1319"/>
      <c r="Y180" s="1319"/>
      <c r="Z180" s="1319"/>
    </row>
    <row r="181" spans="1:26" ht="18.75" customHeight="1">
      <c r="A181" s="1319"/>
      <c r="B181" s="1344"/>
      <c r="C181" s="1319"/>
      <c r="D181" s="1344"/>
      <c r="E181" s="1319"/>
      <c r="F181" s="1319"/>
      <c r="G181" s="1319"/>
      <c r="H181" s="1319"/>
      <c r="I181" s="1319"/>
      <c r="J181" s="1319"/>
      <c r="K181" s="1319"/>
      <c r="L181" s="1319"/>
      <c r="M181" s="1319"/>
      <c r="N181" s="1319"/>
      <c r="O181" s="1319"/>
      <c r="P181" s="1319"/>
      <c r="Q181" s="1319"/>
      <c r="R181" s="1319"/>
      <c r="S181" s="1319"/>
      <c r="T181" s="1319"/>
      <c r="U181" s="1319"/>
      <c r="V181" s="1319"/>
      <c r="W181" s="1319"/>
      <c r="X181" s="1319"/>
      <c r="Y181" s="1319"/>
      <c r="Z181" s="1319"/>
    </row>
    <row r="182" spans="1:26" ht="18.75" customHeight="1">
      <c r="A182" s="1319"/>
      <c r="B182" s="1344"/>
      <c r="C182" s="1319"/>
      <c r="D182" s="1344"/>
      <c r="E182" s="1319"/>
      <c r="F182" s="1319"/>
      <c r="G182" s="1319"/>
      <c r="H182" s="1319"/>
      <c r="I182" s="1319"/>
      <c r="J182" s="1319"/>
      <c r="K182" s="1319"/>
      <c r="L182" s="1319"/>
      <c r="M182" s="1319"/>
      <c r="N182" s="1319"/>
      <c r="O182" s="1319"/>
      <c r="P182" s="1319"/>
      <c r="Q182" s="1319"/>
      <c r="R182" s="1319"/>
      <c r="S182" s="1319"/>
      <c r="T182" s="1319"/>
      <c r="U182" s="1319"/>
      <c r="V182" s="1319"/>
      <c r="W182" s="1319"/>
      <c r="X182" s="1319"/>
      <c r="Y182" s="1319"/>
      <c r="Z182" s="1319"/>
    </row>
    <row r="183" spans="1:26" ht="18.75" customHeight="1">
      <c r="A183" s="1319"/>
      <c r="B183" s="1344"/>
      <c r="C183" s="1319"/>
      <c r="D183" s="1344"/>
      <c r="E183" s="1319"/>
      <c r="F183" s="1319"/>
      <c r="G183" s="1319"/>
      <c r="H183" s="1319"/>
      <c r="I183" s="1319"/>
      <c r="J183" s="1319"/>
      <c r="K183" s="1319"/>
      <c r="L183" s="1319"/>
      <c r="M183" s="1319"/>
      <c r="N183" s="1319"/>
      <c r="O183" s="1319"/>
      <c r="P183" s="1319"/>
      <c r="Q183" s="1319"/>
      <c r="R183" s="1319"/>
      <c r="S183" s="1319"/>
      <c r="T183" s="1319"/>
      <c r="U183" s="1319"/>
      <c r="V183" s="1319"/>
      <c r="W183" s="1319"/>
      <c r="X183" s="1319"/>
      <c r="Y183" s="1319"/>
      <c r="Z183" s="1319"/>
    </row>
    <row r="184" spans="1:26" ht="18.75" customHeight="1">
      <c r="A184" s="1319"/>
      <c r="B184" s="1344"/>
      <c r="C184" s="1319"/>
      <c r="D184" s="1344"/>
      <c r="E184" s="1319"/>
      <c r="F184" s="1319"/>
      <c r="G184" s="1319"/>
      <c r="H184" s="1319"/>
      <c r="I184" s="1319"/>
      <c r="J184" s="1319"/>
      <c r="K184" s="1319"/>
      <c r="L184" s="1319"/>
      <c r="M184" s="1319"/>
      <c r="N184" s="1319"/>
      <c r="O184" s="1319"/>
      <c r="P184" s="1319"/>
      <c r="Q184" s="1319"/>
      <c r="R184" s="1319"/>
      <c r="S184" s="1319"/>
      <c r="T184" s="1319"/>
      <c r="U184" s="1319"/>
      <c r="V184" s="1319"/>
      <c r="W184" s="1319"/>
      <c r="X184" s="1319"/>
      <c r="Y184" s="1319"/>
      <c r="Z184" s="1319"/>
    </row>
    <row r="185" spans="1:26" ht="18.75" customHeight="1">
      <c r="A185" s="1319"/>
      <c r="B185" s="1344"/>
      <c r="C185" s="1319"/>
      <c r="D185" s="1344"/>
      <c r="E185" s="1319"/>
      <c r="F185" s="1319"/>
      <c r="G185" s="1319"/>
      <c r="H185" s="1319"/>
      <c r="I185" s="1319"/>
      <c r="J185" s="1319"/>
      <c r="K185" s="1319"/>
      <c r="L185" s="1319"/>
      <c r="M185" s="1319"/>
      <c r="N185" s="1319"/>
      <c r="O185" s="1319"/>
      <c r="P185" s="1319"/>
      <c r="Q185" s="1319"/>
      <c r="R185" s="1319"/>
      <c r="S185" s="1319"/>
      <c r="T185" s="1319"/>
      <c r="U185" s="1319"/>
      <c r="V185" s="1319"/>
      <c r="W185" s="1319"/>
      <c r="X185" s="1319"/>
      <c r="Y185" s="1319"/>
      <c r="Z185" s="1319"/>
    </row>
    <row r="186" spans="1:26" ht="18.75" customHeight="1">
      <c r="A186" s="1319"/>
      <c r="B186" s="1344"/>
      <c r="C186" s="1319"/>
      <c r="D186" s="1344"/>
      <c r="E186" s="1319"/>
      <c r="F186" s="1319"/>
      <c r="G186" s="1319"/>
      <c r="H186" s="1319"/>
      <c r="I186" s="1319"/>
      <c r="J186" s="1319"/>
      <c r="K186" s="1319"/>
      <c r="L186" s="1319"/>
      <c r="M186" s="1319"/>
      <c r="N186" s="1319"/>
      <c r="O186" s="1319"/>
      <c r="P186" s="1319"/>
      <c r="Q186" s="1319"/>
      <c r="R186" s="1319"/>
      <c r="S186" s="1319"/>
      <c r="T186" s="1319"/>
      <c r="U186" s="1319"/>
      <c r="V186" s="1319"/>
      <c r="W186" s="1319"/>
      <c r="X186" s="1319"/>
      <c r="Y186" s="1319"/>
      <c r="Z186" s="1319"/>
    </row>
    <row r="187" spans="1:26" ht="18.75" customHeight="1">
      <c r="A187" s="1319"/>
      <c r="B187" s="1344"/>
      <c r="C187" s="1319"/>
      <c r="D187" s="1344"/>
      <c r="E187" s="1319"/>
      <c r="F187" s="1319"/>
      <c r="G187" s="1319"/>
      <c r="H187" s="1319"/>
      <c r="I187" s="1319"/>
      <c r="J187" s="1319"/>
      <c r="K187" s="1319"/>
      <c r="L187" s="1319"/>
      <c r="M187" s="1319"/>
      <c r="N187" s="1319"/>
      <c r="O187" s="1319"/>
      <c r="P187" s="1319"/>
      <c r="Q187" s="1319"/>
      <c r="R187" s="1319"/>
      <c r="S187" s="1319"/>
      <c r="T187" s="1319"/>
      <c r="U187" s="1319"/>
      <c r="V187" s="1319"/>
      <c r="W187" s="1319"/>
      <c r="X187" s="1319"/>
      <c r="Y187" s="1319"/>
      <c r="Z187" s="1319"/>
    </row>
    <row r="188" spans="1:26" ht="18.75" customHeight="1">
      <c r="A188" s="1319"/>
      <c r="B188" s="1344"/>
      <c r="C188" s="1319"/>
      <c r="D188" s="1344"/>
      <c r="E188" s="1319"/>
      <c r="F188" s="1319"/>
      <c r="G188" s="1319"/>
      <c r="H188" s="1319"/>
      <c r="I188" s="1319"/>
      <c r="J188" s="1319"/>
      <c r="K188" s="1319"/>
      <c r="L188" s="1319"/>
      <c r="M188" s="1319"/>
      <c r="N188" s="1319"/>
      <c r="O188" s="1319"/>
      <c r="P188" s="1319"/>
      <c r="Q188" s="1319"/>
      <c r="R188" s="1319"/>
      <c r="S188" s="1319"/>
      <c r="T188" s="1319"/>
      <c r="U188" s="1319"/>
      <c r="V188" s="1319"/>
      <c r="W188" s="1319"/>
      <c r="X188" s="1319"/>
      <c r="Y188" s="1319"/>
      <c r="Z188" s="1319"/>
    </row>
    <row r="189" spans="1:26" ht="18.75" customHeight="1">
      <c r="A189" s="1319"/>
      <c r="B189" s="1344"/>
      <c r="C189" s="1319"/>
      <c r="D189" s="1344"/>
      <c r="E189" s="1319"/>
      <c r="F189" s="1319"/>
      <c r="G189" s="1319"/>
      <c r="H189" s="1319"/>
      <c r="I189" s="1319"/>
      <c r="J189" s="1319"/>
      <c r="K189" s="1319"/>
      <c r="L189" s="1319"/>
      <c r="M189" s="1319"/>
      <c r="N189" s="1319"/>
      <c r="O189" s="1319"/>
      <c r="P189" s="1319"/>
      <c r="Q189" s="1319"/>
      <c r="R189" s="1319"/>
      <c r="S189" s="1319"/>
      <c r="T189" s="1319"/>
      <c r="U189" s="1319"/>
      <c r="V189" s="1319"/>
      <c r="W189" s="1319"/>
      <c r="X189" s="1319"/>
      <c r="Y189" s="1319"/>
      <c r="Z189" s="1319"/>
    </row>
    <row r="190" spans="1:26" ht="18.75" customHeight="1">
      <c r="A190" s="1319"/>
      <c r="B190" s="1344"/>
      <c r="C190" s="1319"/>
      <c r="D190" s="1344"/>
      <c r="E190" s="1319"/>
      <c r="F190" s="1319"/>
      <c r="G190" s="1319"/>
      <c r="H190" s="1319"/>
      <c r="I190" s="1319"/>
      <c r="J190" s="1319"/>
      <c r="K190" s="1319"/>
      <c r="L190" s="1319"/>
      <c r="M190" s="1319"/>
      <c r="N190" s="1319"/>
      <c r="O190" s="1319"/>
      <c r="P190" s="1319"/>
      <c r="Q190" s="1319"/>
      <c r="R190" s="1319"/>
      <c r="S190" s="1319"/>
      <c r="T190" s="1319"/>
      <c r="U190" s="1319"/>
      <c r="V190" s="1319"/>
      <c r="W190" s="1319"/>
      <c r="X190" s="1319"/>
      <c r="Y190" s="1319"/>
      <c r="Z190" s="1319"/>
    </row>
    <row r="191" spans="1:26" ht="18.75" customHeight="1">
      <c r="A191" s="1319"/>
      <c r="B191" s="1344"/>
      <c r="C191" s="1319"/>
      <c r="D191" s="1344"/>
      <c r="E191" s="1319"/>
      <c r="F191" s="1319"/>
      <c r="G191" s="1319"/>
      <c r="H191" s="1319"/>
      <c r="I191" s="1319"/>
      <c r="J191" s="1319"/>
      <c r="K191" s="1319"/>
      <c r="L191" s="1319"/>
      <c r="M191" s="1319"/>
      <c r="N191" s="1319"/>
      <c r="O191" s="1319"/>
      <c r="P191" s="1319"/>
      <c r="Q191" s="1319"/>
      <c r="R191" s="1319"/>
      <c r="S191" s="1319"/>
      <c r="T191" s="1319"/>
      <c r="U191" s="1319"/>
      <c r="V191" s="1319"/>
      <c r="W191" s="1319"/>
      <c r="X191" s="1319"/>
      <c r="Y191" s="1319"/>
      <c r="Z191" s="1319"/>
    </row>
    <row r="192" spans="1:26" ht="18.75" customHeight="1">
      <c r="A192" s="1319"/>
      <c r="B192" s="1344"/>
      <c r="C192" s="1319"/>
      <c r="D192" s="1344"/>
      <c r="E192" s="1319"/>
      <c r="F192" s="1319"/>
      <c r="G192" s="1319"/>
      <c r="H192" s="1319"/>
      <c r="I192" s="1319"/>
      <c r="J192" s="1319"/>
      <c r="K192" s="1319"/>
      <c r="L192" s="1319"/>
      <c r="M192" s="1319"/>
      <c r="N192" s="1319"/>
      <c r="O192" s="1319"/>
      <c r="P192" s="1319"/>
      <c r="Q192" s="1319"/>
      <c r="R192" s="1319"/>
      <c r="S192" s="1319"/>
      <c r="T192" s="1319"/>
      <c r="U192" s="1319"/>
      <c r="V192" s="1319"/>
      <c r="W192" s="1319"/>
      <c r="X192" s="1319"/>
      <c r="Y192" s="1319"/>
      <c r="Z192" s="1319"/>
    </row>
    <row r="193" spans="1:26" ht="18.75" customHeight="1">
      <c r="A193" s="1319"/>
      <c r="B193" s="1344"/>
      <c r="C193" s="1319"/>
      <c r="D193" s="1344"/>
      <c r="E193" s="1319"/>
      <c r="F193" s="1319"/>
      <c r="G193" s="1319"/>
      <c r="H193" s="1319"/>
      <c r="I193" s="1319"/>
      <c r="J193" s="1319"/>
      <c r="K193" s="1319"/>
      <c r="L193" s="1319"/>
      <c r="M193" s="1319"/>
      <c r="N193" s="1319"/>
      <c r="O193" s="1319"/>
      <c r="P193" s="1319"/>
      <c r="Q193" s="1319"/>
      <c r="R193" s="1319"/>
      <c r="S193" s="1319"/>
      <c r="T193" s="1319"/>
      <c r="U193" s="1319"/>
      <c r="V193" s="1319"/>
      <c r="W193" s="1319"/>
      <c r="X193" s="1319"/>
      <c r="Y193" s="1319"/>
      <c r="Z193" s="1319"/>
    </row>
    <row r="194" spans="1:26" ht="18.75" customHeight="1">
      <c r="A194" s="1319"/>
      <c r="B194" s="1344"/>
      <c r="C194" s="1319"/>
      <c r="D194" s="1344"/>
      <c r="E194" s="1319"/>
      <c r="F194" s="1319"/>
      <c r="G194" s="1319"/>
      <c r="H194" s="1319"/>
      <c r="I194" s="1319"/>
      <c r="J194" s="1319"/>
      <c r="K194" s="1319"/>
      <c r="L194" s="1319"/>
      <c r="M194" s="1319"/>
      <c r="N194" s="1319"/>
      <c r="O194" s="1319"/>
      <c r="P194" s="1319"/>
      <c r="Q194" s="1319"/>
      <c r="R194" s="1319"/>
      <c r="S194" s="1319"/>
      <c r="T194" s="1319"/>
      <c r="U194" s="1319"/>
      <c r="V194" s="1319"/>
      <c r="W194" s="1319"/>
      <c r="X194" s="1319"/>
      <c r="Y194" s="1319"/>
      <c r="Z194" s="1319"/>
    </row>
    <row r="195" spans="1:26" ht="18.75" customHeight="1">
      <c r="A195" s="1319"/>
      <c r="B195" s="1344"/>
      <c r="C195" s="1319"/>
      <c r="D195" s="1344"/>
      <c r="E195" s="1319"/>
      <c r="F195" s="1319"/>
      <c r="G195" s="1319"/>
      <c r="H195" s="1319"/>
      <c r="I195" s="1319"/>
      <c r="J195" s="1319"/>
      <c r="K195" s="1319"/>
      <c r="L195" s="1319"/>
      <c r="M195" s="1319"/>
      <c r="N195" s="1319"/>
      <c r="O195" s="1319"/>
      <c r="P195" s="1319"/>
      <c r="Q195" s="1319"/>
      <c r="R195" s="1319"/>
      <c r="S195" s="1319"/>
      <c r="T195" s="1319"/>
      <c r="U195" s="1319"/>
      <c r="V195" s="1319"/>
      <c r="W195" s="1319"/>
      <c r="X195" s="1319"/>
      <c r="Y195" s="1319"/>
      <c r="Z195" s="1319"/>
    </row>
    <row r="196" spans="1:26" ht="18.75" customHeight="1">
      <c r="A196" s="1319"/>
      <c r="B196" s="1344"/>
      <c r="C196" s="1319"/>
      <c r="D196" s="1344"/>
      <c r="E196" s="1319"/>
      <c r="F196" s="1319"/>
      <c r="G196" s="1319"/>
      <c r="H196" s="1319"/>
      <c r="I196" s="1319"/>
      <c r="J196" s="1319"/>
      <c r="K196" s="1319"/>
      <c r="L196" s="1319"/>
      <c r="M196" s="1319"/>
      <c r="N196" s="1319"/>
      <c r="O196" s="1319"/>
      <c r="P196" s="1319"/>
      <c r="Q196" s="1319"/>
      <c r="R196" s="1319"/>
      <c r="S196" s="1319"/>
      <c r="T196" s="1319"/>
      <c r="U196" s="1319"/>
      <c r="V196" s="1319"/>
      <c r="W196" s="1319"/>
      <c r="X196" s="1319"/>
      <c r="Y196" s="1319"/>
      <c r="Z196" s="1319"/>
    </row>
    <row r="197" spans="1:26" ht="18.75" customHeight="1">
      <c r="A197" s="1319"/>
      <c r="B197" s="1344"/>
      <c r="C197" s="1319"/>
      <c r="D197" s="1344"/>
      <c r="E197" s="1319"/>
      <c r="F197" s="1319"/>
      <c r="G197" s="1319"/>
      <c r="H197" s="1319"/>
      <c r="I197" s="1319"/>
      <c r="J197" s="1319"/>
      <c r="K197" s="1319"/>
      <c r="L197" s="1319"/>
      <c r="M197" s="1319"/>
      <c r="N197" s="1319"/>
      <c r="O197" s="1319"/>
      <c r="P197" s="1319"/>
      <c r="Q197" s="1319"/>
      <c r="R197" s="1319"/>
      <c r="S197" s="1319"/>
      <c r="T197" s="1319"/>
      <c r="U197" s="1319"/>
      <c r="V197" s="1319"/>
      <c r="W197" s="1319"/>
      <c r="X197" s="1319"/>
      <c r="Y197" s="1319"/>
      <c r="Z197" s="1319"/>
    </row>
    <row r="198" spans="1:26" ht="18.75" customHeight="1">
      <c r="A198" s="1319"/>
      <c r="B198" s="1344"/>
      <c r="C198" s="1319"/>
      <c r="D198" s="1344"/>
      <c r="E198" s="1319"/>
      <c r="F198" s="1319"/>
      <c r="G198" s="1319"/>
      <c r="H198" s="1319"/>
      <c r="I198" s="1319"/>
      <c r="J198" s="1319"/>
      <c r="K198" s="1319"/>
      <c r="L198" s="1319"/>
      <c r="M198" s="1319"/>
      <c r="N198" s="1319"/>
      <c r="O198" s="1319"/>
      <c r="P198" s="1319"/>
      <c r="Q198" s="1319"/>
      <c r="R198" s="1319"/>
      <c r="S198" s="1319"/>
      <c r="T198" s="1319"/>
      <c r="U198" s="1319"/>
      <c r="V198" s="1319"/>
      <c r="W198" s="1319"/>
      <c r="X198" s="1319"/>
      <c r="Y198" s="1319"/>
      <c r="Z198" s="1319"/>
    </row>
    <row r="199" spans="1:26" ht="18.75" customHeight="1">
      <c r="A199" s="1319"/>
      <c r="B199" s="1344"/>
      <c r="C199" s="1319"/>
      <c r="D199" s="1344"/>
      <c r="E199" s="1319"/>
      <c r="F199" s="1319"/>
      <c r="G199" s="1319"/>
      <c r="H199" s="1319"/>
      <c r="I199" s="1319"/>
      <c r="J199" s="1319"/>
      <c r="K199" s="1319"/>
      <c r="L199" s="1319"/>
      <c r="M199" s="1319"/>
      <c r="N199" s="1319"/>
      <c r="O199" s="1319"/>
      <c r="P199" s="1319"/>
      <c r="Q199" s="1319"/>
      <c r="R199" s="1319"/>
      <c r="S199" s="1319"/>
      <c r="T199" s="1319"/>
      <c r="U199" s="1319"/>
      <c r="V199" s="1319"/>
      <c r="W199" s="1319"/>
      <c r="X199" s="1319"/>
      <c r="Y199" s="1319"/>
      <c r="Z199" s="1319"/>
    </row>
    <row r="200" spans="1:26" ht="18.75" customHeight="1">
      <c r="A200" s="1319"/>
      <c r="B200" s="1344"/>
      <c r="C200" s="1319"/>
      <c r="D200" s="1344"/>
      <c r="E200" s="1319"/>
      <c r="F200" s="1319"/>
      <c r="G200" s="1319"/>
      <c r="H200" s="1319"/>
      <c r="I200" s="1319"/>
      <c r="J200" s="1319"/>
      <c r="K200" s="1319"/>
      <c r="L200" s="1319"/>
      <c r="M200" s="1319"/>
      <c r="N200" s="1319"/>
      <c r="O200" s="1319"/>
      <c r="P200" s="1319"/>
      <c r="Q200" s="1319"/>
      <c r="R200" s="1319"/>
      <c r="S200" s="1319"/>
      <c r="T200" s="1319"/>
      <c r="U200" s="1319"/>
      <c r="V200" s="1319"/>
      <c r="W200" s="1319"/>
      <c r="X200" s="1319"/>
      <c r="Y200" s="1319"/>
      <c r="Z200" s="1319"/>
    </row>
    <row r="201" spans="1:26" ht="18.75" customHeight="1">
      <c r="A201" s="1319"/>
      <c r="B201" s="1344"/>
      <c r="C201" s="1319"/>
      <c r="D201" s="1344"/>
      <c r="E201" s="1319"/>
      <c r="F201" s="1319"/>
      <c r="G201" s="1319"/>
      <c r="H201" s="1319"/>
      <c r="I201" s="1319"/>
      <c r="J201" s="1319"/>
      <c r="K201" s="1319"/>
      <c r="L201" s="1319"/>
      <c r="M201" s="1319"/>
      <c r="N201" s="1319"/>
      <c r="O201" s="1319"/>
      <c r="P201" s="1319"/>
      <c r="Q201" s="1319"/>
      <c r="R201" s="1319"/>
      <c r="S201" s="1319"/>
      <c r="T201" s="1319"/>
      <c r="U201" s="1319"/>
      <c r="V201" s="1319"/>
      <c r="W201" s="1319"/>
      <c r="X201" s="1319"/>
      <c r="Y201" s="1319"/>
      <c r="Z201" s="1319"/>
    </row>
    <row r="202" spans="1:26" ht="18.75" customHeight="1">
      <c r="A202" s="1319"/>
      <c r="B202" s="1344"/>
      <c r="C202" s="1319"/>
      <c r="D202" s="1344"/>
      <c r="E202" s="1319"/>
      <c r="F202" s="1319"/>
      <c r="G202" s="1319"/>
      <c r="H202" s="1319"/>
      <c r="I202" s="1319"/>
      <c r="J202" s="1319"/>
      <c r="K202" s="1319"/>
      <c r="L202" s="1319"/>
      <c r="M202" s="1319"/>
      <c r="N202" s="1319"/>
      <c r="O202" s="1319"/>
      <c r="P202" s="1319"/>
      <c r="Q202" s="1319"/>
      <c r="R202" s="1319"/>
      <c r="S202" s="1319"/>
      <c r="T202" s="1319"/>
      <c r="U202" s="1319"/>
      <c r="V202" s="1319"/>
      <c r="W202" s="1319"/>
      <c r="X202" s="1319"/>
      <c r="Y202" s="1319"/>
      <c r="Z202" s="1319"/>
    </row>
    <row r="203" spans="1:26" ht="18.75" customHeight="1">
      <c r="A203" s="1319"/>
      <c r="B203" s="1344"/>
      <c r="C203" s="1319"/>
      <c r="D203" s="1344"/>
      <c r="E203" s="1319"/>
      <c r="F203" s="1319"/>
      <c r="G203" s="1319"/>
      <c r="H203" s="1319"/>
      <c r="I203" s="1319"/>
      <c r="J203" s="1319"/>
      <c r="K203" s="1319"/>
      <c r="L203" s="1319"/>
      <c r="M203" s="1319"/>
      <c r="N203" s="1319"/>
      <c r="O203" s="1319"/>
      <c r="P203" s="1319"/>
      <c r="Q203" s="1319"/>
      <c r="R203" s="1319"/>
      <c r="S203" s="1319"/>
      <c r="T203" s="1319"/>
      <c r="U203" s="1319"/>
      <c r="V203" s="1319"/>
      <c r="W203" s="1319"/>
      <c r="X203" s="1319"/>
      <c r="Y203" s="1319"/>
      <c r="Z203" s="1319"/>
    </row>
    <row r="204" spans="1:26" ht="18.75" customHeight="1">
      <c r="A204" s="1319"/>
      <c r="B204" s="1344"/>
      <c r="C204" s="1319"/>
      <c r="D204" s="1344"/>
      <c r="E204" s="1319"/>
      <c r="F204" s="1319"/>
      <c r="G204" s="1319"/>
      <c r="H204" s="1319"/>
      <c r="I204" s="1319"/>
      <c r="J204" s="1319"/>
      <c r="K204" s="1319"/>
      <c r="L204" s="1319"/>
      <c r="M204" s="1319"/>
      <c r="N204" s="1319"/>
      <c r="O204" s="1319"/>
      <c r="P204" s="1319"/>
      <c r="Q204" s="1319"/>
      <c r="R204" s="1319"/>
      <c r="S204" s="1319"/>
      <c r="T204" s="1319"/>
      <c r="U204" s="1319"/>
      <c r="V204" s="1319"/>
      <c r="W204" s="1319"/>
      <c r="X204" s="1319"/>
      <c r="Y204" s="1319"/>
      <c r="Z204" s="1319"/>
    </row>
    <row r="205" spans="1:26" ht="18.75" customHeight="1">
      <c r="A205" s="1319"/>
      <c r="B205" s="1344"/>
      <c r="C205" s="1319"/>
      <c r="D205" s="1344"/>
      <c r="E205" s="1319"/>
      <c r="F205" s="1319"/>
      <c r="G205" s="1319"/>
      <c r="H205" s="1319"/>
      <c r="I205" s="1319"/>
      <c r="J205" s="1319"/>
      <c r="K205" s="1319"/>
      <c r="L205" s="1319"/>
      <c r="M205" s="1319"/>
      <c r="N205" s="1319"/>
      <c r="O205" s="1319"/>
      <c r="P205" s="1319"/>
      <c r="Q205" s="1319"/>
      <c r="R205" s="1319"/>
      <c r="S205" s="1319"/>
      <c r="T205" s="1319"/>
      <c r="U205" s="1319"/>
      <c r="V205" s="1319"/>
      <c r="W205" s="1319"/>
      <c r="X205" s="1319"/>
      <c r="Y205" s="1319"/>
      <c r="Z205" s="1319"/>
    </row>
    <row r="206" spans="1:26" ht="18.75" customHeight="1">
      <c r="A206" s="1319"/>
      <c r="B206" s="1344"/>
      <c r="C206" s="1319"/>
      <c r="D206" s="1344"/>
      <c r="E206" s="1319"/>
      <c r="F206" s="1319"/>
      <c r="G206" s="1319"/>
      <c r="H206" s="1319"/>
      <c r="I206" s="1319"/>
      <c r="J206" s="1319"/>
      <c r="K206" s="1319"/>
      <c r="L206" s="1319"/>
      <c r="M206" s="1319"/>
      <c r="N206" s="1319"/>
      <c r="O206" s="1319"/>
      <c r="P206" s="1319"/>
      <c r="Q206" s="1319"/>
      <c r="R206" s="1319"/>
      <c r="S206" s="1319"/>
      <c r="T206" s="1319"/>
      <c r="U206" s="1319"/>
      <c r="V206" s="1319"/>
      <c r="W206" s="1319"/>
      <c r="X206" s="1319"/>
      <c r="Y206" s="1319"/>
      <c r="Z206" s="1319"/>
    </row>
    <row r="207" spans="1:26" ht="18.75" customHeight="1">
      <c r="A207" s="1319"/>
      <c r="B207" s="1344"/>
      <c r="C207" s="1319"/>
      <c r="D207" s="1344"/>
      <c r="E207" s="1319"/>
      <c r="F207" s="1319"/>
      <c r="G207" s="1319"/>
      <c r="H207" s="1319"/>
      <c r="I207" s="1319"/>
      <c r="J207" s="1319"/>
      <c r="K207" s="1319"/>
      <c r="L207" s="1319"/>
      <c r="M207" s="1319"/>
      <c r="N207" s="1319"/>
      <c r="O207" s="1319"/>
      <c r="P207" s="1319"/>
      <c r="Q207" s="1319"/>
      <c r="R207" s="1319"/>
      <c r="S207" s="1319"/>
      <c r="T207" s="1319"/>
      <c r="U207" s="1319"/>
      <c r="V207" s="1319"/>
      <c r="W207" s="1319"/>
      <c r="X207" s="1319"/>
      <c r="Y207" s="1319"/>
      <c r="Z207" s="1319"/>
    </row>
    <row r="208" spans="1:26" ht="18.75" customHeight="1">
      <c r="A208" s="1319"/>
      <c r="B208" s="1344"/>
      <c r="C208" s="1319"/>
      <c r="D208" s="1344"/>
      <c r="E208" s="1319"/>
      <c r="F208" s="1319"/>
      <c r="G208" s="1319"/>
      <c r="H208" s="1319"/>
      <c r="I208" s="1319"/>
      <c r="J208" s="1319"/>
      <c r="K208" s="1319"/>
      <c r="L208" s="1319"/>
      <c r="M208" s="1319"/>
      <c r="N208" s="1319"/>
      <c r="O208" s="1319"/>
      <c r="P208" s="1319"/>
      <c r="Q208" s="1319"/>
      <c r="R208" s="1319"/>
      <c r="S208" s="1319"/>
      <c r="T208" s="1319"/>
      <c r="U208" s="1319"/>
      <c r="V208" s="1319"/>
      <c r="W208" s="1319"/>
      <c r="X208" s="1319"/>
      <c r="Y208" s="1319"/>
      <c r="Z208" s="1319"/>
    </row>
    <row r="209" spans="1:26" ht="18.75" customHeight="1">
      <c r="A209" s="1319"/>
      <c r="B209" s="1344"/>
      <c r="C209" s="1319"/>
      <c r="D209" s="1344"/>
      <c r="E209" s="1319"/>
      <c r="F209" s="1319"/>
      <c r="G209" s="1319"/>
      <c r="H209" s="1319"/>
      <c r="I209" s="1319"/>
      <c r="J209" s="1319"/>
      <c r="K209" s="1319"/>
      <c r="L209" s="1319"/>
      <c r="M209" s="1319"/>
      <c r="N209" s="1319"/>
      <c r="O209" s="1319"/>
      <c r="P209" s="1319"/>
      <c r="Q209" s="1319"/>
      <c r="R209" s="1319"/>
      <c r="S209" s="1319"/>
      <c r="T209" s="1319"/>
      <c r="U209" s="1319"/>
      <c r="V209" s="1319"/>
      <c r="W209" s="1319"/>
      <c r="X209" s="1319"/>
      <c r="Y209" s="1319"/>
      <c r="Z209" s="1319"/>
    </row>
    <row r="210" spans="1:26" ht="18.75" customHeight="1">
      <c r="A210" s="1319"/>
      <c r="B210" s="1344"/>
      <c r="C210" s="1319"/>
      <c r="D210" s="1344"/>
      <c r="E210" s="1319"/>
      <c r="F210" s="1319"/>
      <c r="G210" s="1319"/>
      <c r="H210" s="1319"/>
      <c r="I210" s="1319"/>
      <c r="J210" s="1319"/>
      <c r="K210" s="1319"/>
      <c r="L210" s="1319"/>
      <c r="M210" s="1319"/>
      <c r="N210" s="1319"/>
      <c r="O210" s="1319"/>
      <c r="P210" s="1319"/>
      <c r="Q210" s="1319"/>
      <c r="R210" s="1319"/>
      <c r="S210" s="1319"/>
      <c r="T210" s="1319"/>
      <c r="U210" s="1319"/>
      <c r="V210" s="1319"/>
      <c r="W210" s="1319"/>
      <c r="X210" s="1319"/>
      <c r="Y210" s="1319"/>
      <c r="Z210" s="1319"/>
    </row>
    <row r="211" spans="1:26" ht="18.75" customHeight="1">
      <c r="A211" s="1319"/>
      <c r="B211" s="1344"/>
      <c r="C211" s="1319"/>
      <c r="D211" s="1344"/>
      <c r="E211" s="1319"/>
      <c r="F211" s="1319"/>
      <c r="G211" s="1319"/>
      <c r="H211" s="1319"/>
      <c r="I211" s="1319"/>
      <c r="J211" s="1319"/>
      <c r="K211" s="1319"/>
      <c r="L211" s="1319"/>
      <c r="M211" s="1319"/>
      <c r="N211" s="1319"/>
      <c r="O211" s="1319"/>
      <c r="P211" s="1319"/>
      <c r="Q211" s="1319"/>
      <c r="R211" s="1319"/>
      <c r="S211" s="1319"/>
      <c r="T211" s="1319"/>
      <c r="U211" s="1319"/>
      <c r="V211" s="1319"/>
      <c r="W211" s="1319"/>
      <c r="X211" s="1319"/>
      <c r="Y211" s="1319"/>
      <c r="Z211" s="1319"/>
    </row>
    <row r="212" spans="1:26" ht="18.75" customHeight="1">
      <c r="A212" s="1319"/>
      <c r="B212" s="1344"/>
      <c r="C212" s="1319"/>
      <c r="D212" s="1344"/>
      <c r="E212" s="1319"/>
      <c r="F212" s="1319"/>
      <c r="G212" s="1319"/>
      <c r="H212" s="1319"/>
      <c r="I212" s="1319"/>
      <c r="J212" s="1319"/>
      <c r="K212" s="1319"/>
      <c r="L212" s="1319"/>
      <c r="M212" s="1319"/>
      <c r="N212" s="1319"/>
      <c r="O212" s="1319"/>
      <c r="P212" s="1319"/>
      <c r="Q212" s="1319"/>
      <c r="R212" s="1319"/>
      <c r="S212" s="1319"/>
      <c r="T212" s="1319"/>
      <c r="U212" s="1319"/>
      <c r="V212" s="1319"/>
      <c r="W212" s="1319"/>
      <c r="X212" s="1319"/>
      <c r="Y212" s="1319"/>
      <c r="Z212" s="1319"/>
    </row>
    <row r="213" spans="1:26" ht="18.75" customHeight="1">
      <c r="A213" s="1319"/>
      <c r="B213" s="1344"/>
      <c r="C213" s="1319"/>
      <c r="D213" s="1344"/>
      <c r="E213" s="1319"/>
      <c r="F213" s="1319"/>
      <c r="G213" s="1319"/>
      <c r="H213" s="1319"/>
      <c r="I213" s="1319"/>
      <c r="J213" s="1319"/>
      <c r="K213" s="1319"/>
      <c r="L213" s="1319"/>
      <c r="M213" s="1319"/>
      <c r="N213" s="1319"/>
      <c r="O213" s="1319"/>
      <c r="P213" s="1319"/>
      <c r="Q213" s="1319"/>
      <c r="R213" s="1319"/>
      <c r="S213" s="1319"/>
      <c r="T213" s="1319"/>
      <c r="U213" s="1319"/>
      <c r="V213" s="1319"/>
      <c r="W213" s="1319"/>
      <c r="X213" s="1319"/>
      <c r="Y213" s="1319"/>
      <c r="Z213" s="1319"/>
    </row>
    <row r="214" spans="1:26" ht="18.75" customHeight="1">
      <c r="A214" s="1319"/>
      <c r="B214" s="1344"/>
      <c r="C214" s="1319"/>
      <c r="D214" s="1344"/>
      <c r="E214" s="1319"/>
      <c r="F214" s="1319"/>
      <c r="G214" s="1319"/>
      <c r="H214" s="1319"/>
      <c r="I214" s="1319"/>
      <c r="J214" s="1319"/>
      <c r="K214" s="1319"/>
      <c r="L214" s="1319"/>
      <c r="M214" s="1319"/>
      <c r="N214" s="1319"/>
      <c r="O214" s="1319"/>
      <c r="P214" s="1319"/>
      <c r="Q214" s="1319"/>
      <c r="R214" s="1319"/>
      <c r="S214" s="1319"/>
      <c r="T214" s="1319"/>
      <c r="U214" s="1319"/>
      <c r="V214" s="1319"/>
      <c r="W214" s="1319"/>
      <c r="X214" s="1319"/>
      <c r="Y214" s="1319"/>
      <c r="Z214" s="1319"/>
    </row>
    <row r="215" spans="1:26" ht="18.75" customHeight="1">
      <c r="A215" s="1319"/>
      <c r="B215" s="1344"/>
      <c r="C215" s="1319"/>
      <c r="D215" s="1344"/>
      <c r="E215" s="1319"/>
      <c r="F215" s="1319"/>
      <c r="G215" s="1319"/>
      <c r="H215" s="1319"/>
      <c r="I215" s="1319"/>
      <c r="J215" s="1319"/>
      <c r="K215" s="1319"/>
      <c r="L215" s="1319"/>
      <c r="M215" s="1319"/>
      <c r="N215" s="1319"/>
      <c r="O215" s="1319"/>
      <c r="P215" s="1319"/>
      <c r="Q215" s="1319"/>
      <c r="R215" s="1319"/>
      <c r="S215" s="1319"/>
      <c r="T215" s="1319"/>
      <c r="U215" s="1319"/>
      <c r="V215" s="1319"/>
      <c r="W215" s="1319"/>
      <c r="X215" s="1319"/>
      <c r="Y215" s="1319"/>
      <c r="Z215" s="1319"/>
    </row>
    <row r="216" spans="1:26" ht="18.75" customHeight="1">
      <c r="A216" s="1319"/>
      <c r="B216" s="1344"/>
      <c r="C216" s="1319"/>
      <c r="D216" s="1344"/>
      <c r="E216" s="1319"/>
      <c r="F216" s="1319"/>
      <c r="G216" s="1319"/>
      <c r="H216" s="1319"/>
      <c r="I216" s="1319"/>
      <c r="J216" s="1319"/>
      <c r="K216" s="1319"/>
      <c r="L216" s="1319"/>
      <c r="M216" s="1319"/>
      <c r="N216" s="1319"/>
      <c r="O216" s="1319"/>
      <c r="P216" s="1319"/>
      <c r="Q216" s="1319"/>
      <c r="R216" s="1319"/>
      <c r="S216" s="1319"/>
      <c r="T216" s="1319"/>
      <c r="U216" s="1319"/>
      <c r="V216" s="1319"/>
      <c r="W216" s="1319"/>
      <c r="X216" s="1319"/>
      <c r="Y216" s="1319"/>
      <c r="Z216" s="1319"/>
    </row>
    <row r="217" spans="1:26" ht="18.75" customHeight="1">
      <c r="A217" s="1319"/>
      <c r="B217" s="1344"/>
      <c r="C217" s="1319"/>
      <c r="D217" s="1344"/>
      <c r="E217" s="1319"/>
      <c r="F217" s="1319"/>
      <c r="G217" s="1319"/>
      <c r="H217" s="1319"/>
      <c r="I217" s="1319"/>
      <c r="J217" s="1319"/>
      <c r="K217" s="1319"/>
      <c r="L217" s="1319"/>
      <c r="M217" s="1319"/>
      <c r="N217" s="1319"/>
      <c r="O217" s="1319"/>
      <c r="P217" s="1319"/>
      <c r="Q217" s="1319"/>
      <c r="R217" s="1319"/>
      <c r="S217" s="1319"/>
      <c r="T217" s="1319"/>
      <c r="U217" s="1319"/>
      <c r="V217" s="1319"/>
      <c r="W217" s="1319"/>
      <c r="X217" s="1319"/>
      <c r="Y217" s="1319"/>
      <c r="Z217" s="1319"/>
    </row>
    <row r="218" spans="1:26" ht="18.75" customHeight="1">
      <c r="A218" s="1319"/>
      <c r="B218" s="1344"/>
      <c r="C218" s="1319"/>
      <c r="D218" s="1344"/>
      <c r="E218" s="1319"/>
      <c r="F218" s="1319"/>
      <c r="G218" s="1319"/>
      <c r="H218" s="1319"/>
      <c r="I218" s="1319"/>
      <c r="J218" s="1319"/>
      <c r="K218" s="1319"/>
      <c r="L218" s="1319"/>
      <c r="M218" s="1319"/>
      <c r="N218" s="1319"/>
      <c r="O218" s="1319"/>
      <c r="P218" s="1319"/>
      <c r="Q218" s="1319"/>
      <c r="R218" s="1319"/>
      <c r="S218" s="1319"/>
      <c r="T218" s="1319"/>
      <c r="U218" s="1319"/>
      <c r="V218" s="1319"/>
      <c r="W218" s="1319"/>
      <c r="X218" s="1319"/>
      <c r="Y218" s="1319"/>
      <c r="Z218" s="1319"/>
    </row>
    <row r="219" spans="1:26" ht="18.75" customHeight="1">
      <c r="A219" s="1319"/>
      <c r="B219" s="1344"/>
      <c r="C219" s="1319"/>
      <c r="D219" s="1344"/>
      <c r="E219" s="1319"/>
      <c r="F219" s="1319"/>
      <c r="G219" s="1319"/>
      <c r="H219" s="1319"/>
      <c r="I219" s="1319"/>
      <c r="J219" s="1319"/>
      <c r="K219" s="1319"/>
      <c r="L219" s="1319"/>
      <c r="M219" s="1319"/>
      <c r="N219" s="1319"/>
      <c r="O219" s="1319"/>
      <c r="P219" s="1319"/>
      <c r="Q219" s="1319"/>
      <c r="R219" s="1319"/>
      <c r="S219" s="1319"/>
      <c r="T219" s="1319"/>
      <c r="U219" s="1319"/>
      <c r="V219" s="1319"/>
      <c r="W219" s="1319"/>
      <c r="X219" s="1319"/>
      <c r="Y219" s="1319"/>
      <c r="Z219" s="1319"/>
    </row>
    <row r="220" spans="1:26" ht="18.75" customHeight="1">
      <c r="A220" s="1319"/>
      <c r="B220" s="1344"/>
      <c r="C220" s="1319"/>
      <c r="D220" s="1344"/>
      <c r="E220" s="1319"/>
      <c r="F220" s="1319"/>
      <c r="G220" s="1319"/>
      <c r="H220" s="1319"/>
      <c r="I220" s="1319"/>
      <c r="J220" s="1319"/>
      <c r="K220" s="1319"/>
      <c r="L220" s="1319"/>
      <c r="M220" s="1319"/>
      <c r="N220" s="1319"/>
      <c r="O220" s="1319"/>
      <c r="P220" s="1319"/>
      <c r="Q220" s="1319"/>
      <c r="R220" s="1319"/>
      <c r="S220" s="1319"/>
      <c r="T220" s="1319"/>
      <c r="U220" s="1319"/>
      <c r="V220" s="1319"/>
      <c r="W220" s="1319"/>
      <c r="X220" s="1319"/>
      <c r="Y220" s="1319"/>
      <c r="Z220" s="1319"/>
    </row>
    <row r="221" spans="1:26" ht="18.75" customHeight="1">
      <c r="A221" s="1319"/>
      <c r="B221" s="1344"/>
      <c r="C221" s="1319"/>
      <c r="D221" s="1344"/>
      <c r="E221" s="1319"/>
      <c r="F221" s="1319"/>
      <c r="G221" s="1319"/>
      <c r="H221" s="1319"/>
      <c r="I221" s="1319"/>
      <c r="J221" s="1319"/>
      <c r="K221" s="1319"/>
      <c r="L221" s="1319"/>
      <c r="M221" s="1319"/>
      <c r="N221" s="1319"/>
      <c r="O221" s="1319"/>
      <c r="P221" s="1319"/>
      <c r="Q221" s="1319"/>
      <c r="R221" s="1319"/>
      <c r="S221" s="1319"/>
      <c r="T221" s="1319"/>
      <c r="U221" s="1319"/>
      <c r="V221" s="1319"/>
      <c r="W221" s="1319"/>
      <c r="X221" s="1319"/>
      <c r="Y221" s="1319"/>
      <c r="Z221" s="1319"/>
    </row>
    <row r="222" spans="1:26" ht="18.75" customHeight="1">
      <c r="A222" s="1319"/>
      <c r="B222" s="1344"/>
      <c r="C222" s="1319"/>
      <c r="D222" s="1344"/>
      <c r="E222" s="1319"/>
      <c r="F222" s="1319"/>
      <c r="G222" s="1319"/>
      <c r="H222" s="1319"/>
      <c r="I222" s="1319"/>
      <c r="J222" s="1319"/>
      <c r="K222" s="1319"/>
      <c r="L222" s="1319"/>
      <c r="M222" s="1319"/>
      <c r="N222" s="1319"/>
      <c r="O222" s="1319"/>
      <c r="P222" s="1319"/>
      <c r="Q222" s="1319"/>
      <c r="R222" s="1319"/>
      <c r="S222" s="1319"/>
      <c r="T222" s="1319"/>
      <c r="U222" s="1319"/>
      <c r="V222" s="1319"/>
      <c r="W222" s="1319"/>
      <c r="X222" s="1319"/>
      <c r="Y222" s="1319"/>
      <c r="Z222" s="1319"/>
    </row>
    <row r="223" spans="1:26" ht="18.75" customHeight="1">
      <c r="A223" s="1319"/>
      <c r="B223" s="1344"/>
      <c r="C223" s="1319"/>
      <c r="D223" s="1344"/>
      <c r="E223" s="1319"/>
      <c r="F223" s="1319"/>
      <c r="G223" s="1319"/>
      <c r="H223" s="1319"/>
      <c r="I223" s="1319"/>
      <c r="J223" s="1319"/>
      <c r="K223" s="1319"/>
      <c r="L223" s="1319"/>
      <c r="M223" s="1319"/>
      <c r="N223" s="1319"/>
      <c r="O223" s="1319"/>
      <c r="P223" s="1319"/>
      <c r="Q223" s="1319"/>
      <c r="R223" s="1319"/>
      <c r="S223" s="1319"/>
      <c r="T223" s="1319"/>
      <c r="U223" s="1319"/>
      <c r="V223" s="1319"/>
      <c r="W223" s="1319"/>
      <c r="X223" s="1319"/>
      <c r="Y223" s="1319"/>
      <c r="Z223" s="1319"/>
    </row>
    <row r="224" spans="1:26" ht="18.75" customHeight="1">
      <c r="A224" s="1319"/>
      <c r="B224" s="1344"/>
      <c r="C224" s="1319"/>
      <c r="D224" s="1344"/>
      <c r="E224" s="1319"/>
      <c r="F224" s="1319"/>
      <c r="G224" s="1319"/>
      <c r="H224" s="1319"/>
      <c r="I224" s="1319"/>
      <c r="J224" s="1319"/>
      <c r="K224" s="1319"/>
      <c r="L224" s="1319"/>
      <c r="M224" s="1319"/>
      <c r="N224" s="1319"/>
      <c r="O224" s="1319"/>
      <c r="P224" s="1319"/>
      <c r="Q224" s="1319"/>
      <c r="R224" s="1319"/>
      <c r="S224" s="1319"/>
      <c r="T224" s="1319"/>
      <c r="U224" s="1319"/>
      <c r="V224" s="1319"/>
      <c r="W224" s="1319"/>
      <c r="X224" s="1319"/>
      <c r="Y224" s="1319"/>
      <c r="Z224" s="1319"/>
    </row>
    <row r="225" spans="1:26" ht="18.75" customHeight="1">
      <c r="A225" s="1319"/>
      <c r="B225" s="1344"/>
      <c r="C225" s="1319"/>
      <c r="D225" s="1344"/>
      <c r="E225" s="1319"/>
      <c r="F225" s="1319"/>
      <c r="G225" s="1319"/>
      <c r="H225" s="1319"/>
      <c r="I225" s="1319"/>
      <c r="J225" s="1319"/>
      <c r="K225" s="1319"/>
      <c r="L225" s="1319"/>
      <c r="M225" s="1319"/>
      <c r="N225" s="1319"/>
      <c r="O225" s="1319"/>
      <c r="P225" s="1319"/>
      <c r="Q225" s="1319"/>
      <c r="R225" s="1319"/>
      <c r="S225" s="1319"/>
      <c r="T225" s="1319"/>
      <c r="U225" s="1319"/>
      <c r="V225" s="1319"/>
      <c r="W225" s="1319"/>
      <c r="X225" s="1319"/>
      <c r="Y225" s="1319"/>
      <c r="Z225" s="1319"/>
    </row>
    <row r="226" spans="1:26" ht="18.75" customHeight="1">
      <c r="A226" s="1319"/>
      <c r="B226" s="1344"/>
      <c r="C226" s="1319"/>
      <c r="D226" s="1344"/>
      <c r="E226" s="1319"/>
      <c r="F226" s="1319"/>
      <c r="G226" s="1319"/>
      <c r="H226" s="1319"/>
      <c r="I226" s="1319"/>
      <c r="J226" s="1319"/>
      <c r="K226" s="1319"/>
      <c r="L226" s="1319"/>
      <c r="M226" s="1319"/>
      <c r="N226" s="1319"/>
      <c r="O226" s="1319"/>
      <c r="P226" s="1319"/>
      <c r="Q226" s="1319"/>
      <c r="R226" s="1319"/>
      <c r="S226" s="1319"/>
      <c r="T226" s="1319"/>
      <c r="U226" s="1319"/>
      <c r="V226" s="1319"/>
      <c r="W226" s="1319"/>
      <c r="X226" s="1319"/>
      <c r="Y226" s="1319"/>
      <c r="Z226" s="1319"/>
    </row>
    <row r="227" spans="1:26" ht="18.75" customHeight="1">
      <c r="A227" s="1319"/>
      <c r="B227" s="1344"/>
      <c r="C227" s="1319"/>
      <c r="D227" s="1344"/>
      <c r="E227" s="1319"/>
      <c r="F227" s="1319"/>
      <c r="G227" s="1319"/>
      <c r="H227" s="1319"/>
      <c r="I227" s="1319"/>
      <c r="J227" s="1319"/>
      <c r="K227" s="1319"/>
      <c r="L227" s="1319"/>
      <c r="M227" s="1319"/>
      <c r="N227" s="1319"/>
      <c r="O227" s="1319"/>
      <c r="P227" s="1319"/>
      <c r="Q227" s="1319"/>
      <c r="R227" s="1319"/>
      <c r="S227" s="1319"/>
      <c r="T227" s="1319"/>
      <c r="U227" s="1319"/>
      <c r="V227" s="1319"/>
      <c r="W227" s="1319"/>
      <c r="X227" s="1319"/>
      <c r="Y227" s="1319"/>
      <c r="Z227" s="1319"/>
    </row>
    <row r="228" spans="1:26" ht="18.75" customHeight="1">
      <c r="A228" s="1319"/>
      <c r="B228" s="1344"/>
      <c r="C228" s="1319"/>
      <c r="D228" s="1344"/>
      <c r="E228" s="1319"/>
      <c r="F228" s="1319"/>
      <c r="G228" s="1319"/>
      <c r="H228" s="1319"/>
      <c r="I228" s="1319"/>
      <c r="J228" s="1319"/>
      <c r="K228" s="1319"/>
      <c r="L228" s="1319"/>
      <c r="M228" s="1319"/>
      <c r="N228" s="1319"/>
      <c r="O228" s="1319"/>
      <c r="P228" s="1319"/>
      <c r="Q228" s="1319"/>
      <c r="R228" s="1319"/>
      <c r="S228" s="1319"/>
      <c r="T228" s="1319"/>
      <c r="U228" s="1319"/>
      <c r="V228" s="1319"/>
      <c r="W228" s="1319"/>
      <c r="X228" s="1319"/>
      <c r="Y228" s="1319"/>
      <c r="Z228" s="1319"/>
    </row>
    <row r="229" spans="1:26" ht="18.75" customHeight="1">
      <c r="A229" s="1319"/>
      <c r="B229" s="1344"/>
      <c r="C229" s="1319"/>
      <c r="D229" s="1344"/>
      <c r="E229" s="1319"/>
      <c r="F229" s="1319"/>
      <c r="G229" s="1319"/>
      <c r="H229" s="1319"/>
      <c r="I229" s="1319"/>
      <c r="J229" s="1319"/>
      <c r="K229" s="1319"/>
      <c r="L229" s="1319"/>
      <c r="M229" s="1319"/>
      <c r="N229" s="1319"/>
      <c r="O229" s="1319"/>
      <c r="P229" s="1319"/>
      <c r="Q229" s="1319"/>
      <c r="R229" s="1319"/>
      <c r="S229" s="1319"/>
      <c r="T229" s="1319"/>
      <c r="U229" s="1319"/>
      <c r="V229" s="1319"/>
      <c r="W229" s="1319"/>
      <c r="X229" s="1319"/>
      <c r="Y229" s="1319"/>
      <c r="Z229" s="1319"/>
    </row>
    <row r="230" spans="1:26" ht="18.75" customHeight="1">
      <c r="A230" s="1319"/>
      <c r="B230" s="1344"/>
      <c r="C230" s="1319"/>
      <c r="D230" s="1344"/>
      <c r="E230" s="1319"/>
      <c r="F230" s="1319"/>
      <c r="G230" s="1319"/>
      <c r="H230" s="1319"/>
      <c r="I230" s="1319"/>
      <c r="J230" s="1319"/>
      <c r="K230" s="1319"/>
      <c r="L230" s="1319"/>
      <c r="M230" s="1319"/>
      <c r="N230" s="1319"/>
      <c r="O230" s="1319"/>
      <c r="P230" s="1319"/>
      <c r="Q230" s="1319"/>
      <c r="R230" s="1319"/>
      <c r="S230" s="1319"/>
      <c r="T230" s="1319"/>
      <c r="U230" s="1319"/>
      <c r="V230" s="1319"/>
      <c r="W230" s="1319"/>
      <c r="X230" s="1319"/>
      <c r="Y230" s="1319"/>
      <c r="Z230" s="1319"/>
    </row>
    <row r="231" spans="1:26" ht="18.75" customHeight="1">
      <c r="A231" s="1319"/>
      <c r="B231" s="1344"/>
      <c r="C231" s="1319"/>
      <c r="D231" s="1344"/>
      <c r="E231" s="1319"/>
      <c r="F231" s="1319"/>
      <c r="G231" s="1319"/>
      <c r="H231" s="1319"/>
      <c r="I231" s="1319"/>
      <c r="J231" s="1319"/>
      <c r="K231" s="1319"/>
      <c r="L231" s="1319"/>
      <c r="M231" s="1319"/>
      <c r="N231" s="1319"/>
      <c r="O231" s="1319"/>
      <c r="P231" s="1319"/>
      <c r="Q231" s="1319"/>
      <c r="R231" s="1319"/>
      <c r="S231" s="1319"/>
      <c r="T231" s="1319"/>
      <c r="U231" s="1319"/>
      <c r="V231" s="1319"/>
      <c r="W231" s="1319"/>
      <c r="X231" s="1319"/>
      <c r="Y231" s="1319"/>
      <c r="Z231" s="1319"/>
    </row>
    <row r="232" spans="1:26" ht="18.75" customHeight="1">
      <c r="A232" s="1319"/>
      <c r="B232" s="1344"/>
      <c r="C232" s="1319"/>
      <c r="D232" s="1344"/>
      <c r="E232" s="1319"/>
      <c r="F232" s="1319"/>
      <c r="G232" s="1319"/>
      <c r="H232" s="1319"/>
      <c r="I232" s="1319"/>
      <c r="J232" s="1319"/>
      <c r="K232" s="1319"/>
      <c r="L232" s="1319"/>
      <c r="M232" s="1319"/>
      <c r="N232" s="1319"/>
      <c r="O232" s="1319"/>
      <c r="P232" s="1319"/>
      <c r="Q232" s="1319"/>
      <c r="R232" s="1319"/>
      <c r="S232" s="1319"/>
      <c r="T232" s="1319"/>
      <c r="U232" s="1319"/>
      <c r="V232" s="1319"/>
      <c r="W232" s="1319"/>
      <c r="X232" s="1319"/>
      <c r="Y232" s="1319"/>
      <c r="Z232" s="1319"/>
    </row>
    <row r="233" spans="1:26" ht="18.75" customHeight="1">
      <c r="A233" s="1319"/>
      <c r="B233" s="1344"/>
      <c r="C233" s="1319"/>
      <c r="D233" s="1344"/>
      <c r="E233" s="1319"/>
      <c r="F233" s="1319"/>
      <c r="G233" s="1319"/>
      <c r="H233" s="1319"/>
      <c r="I233" s="1319"/>
      <c r="J233" s="1319"/>
      <c r="K233" s="1319"/>
      <c r="L233" s="1319"/>
      <c r="M233" s="1319"/>
      <c r="N233" s="1319"/>
      <c r="O233" s="1319"/>
      <c r="P233" s="1319"/>
      <c r="Q233" s="1319"/>
      <c r="R233" s="1319"/>
      <c r="S233" s="1319"/>
      <c r="T233" s="1319"/>
      <c r="U233" s="1319"/>
      <c r="V233" s="1319"/>
      <c r="W233" s="1319"/>
      <c r="X233" s="1319"/>
      <c r="Y233" s="1319"/>
      <c r="Z233" s="1319"/>
    </row>
    <row r="234" spans="1:26" ht="18.75" customHeight="1">
      <c r="A234" s="1319"/>
      <c r="B234" s="1344"/>
      <c r="C234" s="1319"/>
      <c r="D234" s="1344"/>
      <c r="E234" s="1319"/>
      <c r="F234" s="1319"/>
      <c r="G234" s="1319"/>
      <c r="H234" s="1319"/>
      <c r="I234" s="1319"/>
      <c r="J234" s="1319"/>
      <c r="K234" s="1319"/>
      <c r="L234" s="1319"/>
      <c r="M234" s="1319"/>
      <c r="N234" s="1319"/>
      <c r="O234" s="1319"/>
      <c r="P234" s="1319"/>
      <c r="Q234" s="1319"/>
      <c r="R234" s="1319"/>
      <c r="S234" s="1319"/>
      <c r="T234" s="1319"/>
      <c r="U234" s="1319"/>
      <c r="V234" s="1319"/>
      <c r="W234" s="1319"/>
      <c r="X234" s="1319"/>
      <c r="Y234" s="1319"/>
      <c r="Z234" s="1319"/>
    </row>
    <row r="235" spans="1:26" ht="18.75" customHeight="1">
      <c r="A235" s="1319"/>
      <c r="B235" s="1344"/>
      <c r="C235" s="1319"/>
      <c r="D235" s="1344"/>
      <c r="E235" s="1319"/>
      <c r="F235" s="1319"/>
      <c r="G235" s="1319"/>
      <c r="H235" s="1319"/>
      <c r="I235" s="1319"/>
      <c r="J235" s="1319"/>
      <c r="K235" s="1319"/>
      <c r="L235" s="1319"/>
      <c r="M235" s="1319"/>
      <c r="N235" s="1319"/>
      <c r="O235" s="1319"/>
      <c r="P235" s="1319"/>
      <c r="Q235" s="1319"/>
      <c r="R235" s="1319"/>
      <c r="S235" s="1319"/>
      <c r="T235" s="1319"/>
      <c r="U235" s="1319"/>
      <c r="V235" s="1319"/>
      <c r="W235" s="1319"/>
      <c r="X235" s="1319"/>
      <c r="Y235" s="1319"/>
      <c r="Z235" s="1319"/>
    </row>
    <row r="236" spans="1:26" ht="18.75" customHeight="1">
      <c r="A236" s="1319"/>
      <c r="B236" s="1344"/>
      <c r="C236" s="1319"/>
      <c r="D236" s="1344"/>
      <c r="E236" s="1319"/>
      <c r="F236" s="1319"/>
      <c r="G236" s="1319"/>
      <c r="H236" s="1319"/>
      <c r="I236" s="1319"/>
      <c r="J236" s="1319"/>
      <c r="K236" s="1319"/>
      <c r="L236" s="1319"/>
      <c r="M236" s="1319"/>
      <c r="N236" s="1319"/>
      <c r="O236" s="1319"/>
      <c r="P236" s="1319"/>
      <c r="Q236" s="1319"/>
      <c r="R236" s="1319"/>
      <c r="S236" s="1319"/>
      <c r="T236" s="1319"/>
      <c r="U236" s="1319"/>
      <c r="V236" s="1319"/>
      <c r="W236" s="1319"/>
      <c r="X236" s="1319"/>
      <c r="Y236" s="1319"/>
      <c r="Z236" s="1319"/>
    </row>
    <row r="237" spans="1:26" ht="18.75" customHeight="1">
      <c r="A237" s="1319"/>
      <c r="B237" s="1344"/>
      <c r="C237" s="1319"/>
      <c r="D237" s="1344"/>
      <c r="E237" s="1319"/>
      <c r="F237" s="1319"/>
      <c r="G237" s="1319"/>
      <c r="H237" s="1319"/>
      <c r="I237" s="1319"/>
      <c r="J237" s="1319"/>
      <c r="K237" s="1319"/>
      <c r="L237" s="1319"/>
      <c r="M237" s="1319"/>
      <c r="N237" s="1319"/>
      <c r="O237" s="1319"/>
      <c r="P237" s="1319"/>
      <c r="Q237" s="1319"/>
      <c r="R237" s="1319"/>
      <c r="S237" s="1319"/>
      <c r="T237" s="1319"/>
      <c r="U237" s="1319"/>
      <c r="V237" s="1319"/>
      <c r="W237" s="1319"/>
      <c r="X237" s="1319"/>
      <c r="Y237" s="1319"/>
      <c r="Z237" s="1319"/>
    </row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6">
    <mergeCell ref="A21:H21"/>
    <mergeCell ref="A29:H29"/>
    <mergeCell ref="A33:H33"/>
    <mergeCell ref="A25:H25"/>
    <mergeCell ref="G26:H26"/>
    <mergeCell ref="G27:H27"/>
    <mergeCell ref="G28:H28"/>
    <mergeCell ref="G13:G14"/>
    <mergeCell ref="A5:H5"/>
    <mergeCell ref="A9:H9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47" zoomScale="98" zoomScaleNormal="98" zoomScaleSheetLayoutView="96" workbookViewId="0">
      <selection activeCell="AH63" sqref="AH63"/>
    </sheetView>
  </sheetViews>
  <sheetFormatPr defaultColWidth="4" defaultRowHeight="13"/>
  <cols>
    <col min="1" max="1" width="1.54296875" style="313" customWidth="1"/>
    <col min="2" max="2" width="4.26953125" style="313" customWidth="1"/>
    <col min="3" max="3" width="5.81640625" style="313" customWidth="1"/>
    <col min="4" max="4" width="4.7265625" style="313" customWidth="1"/>
    <col min="5" max="5" width="5.1796875" style="313" customWidth="1"/>
    <col min="6" max="6" width="4.26953125" style="313" customWidth="1"/>
    <col min="7" max="7" width="5.1796875" style="313" customWidth="1"/>
    <col min="8" max="8" width="4.7265625" style="313" customWidth="1"/>
    <col min="9" max="11" width="5.453125" style="313" customWidth="1"/>
    <col min="12" max="12" width="4.26953125" style="313" customWidth="1"/>
    <col min="13" max="13" width="5.1796875" style="313" customWidth="1"/>
    <col min="14" max="14" width="4.26953125" style="313" customWidth="1"/>
    <col min="15" max="15" width="5.7265625" style="313" customWidth="1"/>
    <col min="16" max="16" width="4.26953125" style="313" customWidth="1"/>
    <col min="17" max="17" width="5.81640625" style="313" customWidth="1"/>
    <col min="18" max="18" width="4.54296875" style="313" customWidth="1"/>
    <col min="19" max="19" width="5.1796875" style="313" customWidth="1"/>
    <col min="20" max="20" width="4.26953125" style="313" customWidth="1"/>
    <col min="21" max="21" width="5.1796875" style="313" customWidth="1"/>
    <col min="22" max="22" width="4.26953125" style="313" customWidth="1"/>
    <col min="23" max="23" width="5.1796875" style="313" customWidth="1"/>
    <col min="24" max="24" width="4.26953125" style="313" customWidth="1"/>
    <col min="25" max="25" width="5.1796875" style="313" customWidth="1"/>
    <col min="26" max="26" width="4.26953125" style="313" customWidth="1"/>
    <col min="27" max="27" width="5.1796875" style="313" customWidth="1"/>
    <col min="28" max="28" width="4.7265625" style="313" customWidth="1"/>
    <col min="29" max="29" width="5.1796875" style="313" customWidth="1"/>
    <col min="30" max="30" width="4.26953125" style="313" customWidth="1"/>
    <col min="31" max="31" width="5.1796875" style="313" customWidth="1"/>
    <col min="32" max="32" width="4.7265625" style="313" customWidth="1"/>
    <col min="33" max="33" width="5.1796875" style="313" customWidth="1"/>
    <col min="34" max="34" width="4.26953125" style="313" customWidth="1"/>
    <col min="35" max="35" width="5.1796875" style="313" customWidth="1"/>
    <col min="36" max="36" width="4.453125" style="313" customWidth="1"/>
    <col min="37" max="37" width="5.7265625" style="313" customWidth="1"/>
    <col min="38" max="38" width="4.26953125" style="313" customWidth="1"/>
    <col min="39" max="39" width="5.1796875" style="313" customWidth="1"/>
    <col min="40" max="40" width="4.7265625" style="313" customWidth="1"/>
    <col min="41" max="41" width="5.1796875" style="313" customWidth="1"/>
    <col min="42" max="42" width="3.81640625" style="313" customWidth="1"/>
    <col min="43" max="43" width="5.1796875" style="313" customWidth="1"/>
    <col min="44" max="44" width="6" style="313" customWidth="1"/>
    <col min="45" max="45" width="5.54296875" style="313" customWidth="1"/>
    <col min="46" max="46" width="6" style="313" customWidth="1"/>
    <col min="47" max="47" width="1.81640625" style="313" customWidth="1"/>
    <col min="48" max="48" width="4" style="313"/>
    <col min="49" max="49" width="6.453125" style="313" bestFit="1" customWidth="1"/>
    <col min="50" max="50" width="5.1796875" style="313" customWidth="1"/>
    <col min="51" max="53" width="4" style="313"/>
    <col min="54" max="54" width="6.7265625" style="313" bestFit="1" customWidth="1"/>
    <col min="55" max="16384" width="4" style="313"/>
  </cols>
  <sheetData>
    <row r="1" spans="2:54" ht="17.25" customHeight="1" thickBot="1">
      <c r="B1" s="1527" t="s">
        <v>189</v>
      </c>
      <c r="C1" s="1528"/>
      <c r="D1" s="1528"/>
      <c r="E1" s="1528"/>
      <c r="F1" s="1528"/>
      <c r="G1" s="1528"/>
      <c r="H1" s="1528"/>
      <c r="I1" s="1528"/>
      <c r="J1" s="1528"/>
      <c r="K1" s="1528"/>
      <c r="L1" s="1528"/>
      <c r="M1" s="1528"/>
      <c r="N1" s="1528"/>
      <c r="O1" s="1528"/>
      <c r="P1" s="1528"/>
      <c r="Q1" s="1528"/>
      <c r="R1" s="1528"/>
      <c r="S1" s="1528"/>
      <c r="T1" s="1528"/>
      <c r="U1" s="1528"/>
      <c r="V1" s="1528"/>
      <c r="W1" s="1528"/>
      <c r="X1" s="1528"/>
      <c r="Y1" s="1528"/>
      <c r="Z1" s="1528"/>
      <c r="AA1" s="1528"/>
      <c r="AB1" s="1528"/>
      <c r="AC1" s="1528"/>
      <c r="AD1" s="1528"/>
      <c r="AE1" s="1528"/>
      <c r="AF1" s="1528"/>
      <c r="AG1" s="1528"/>
      <c r="AH1" s="1528"/>
      <c r="AI1" s="1528"/>
      <c r="AJ1" s="1528"/>
      <c r="AK1" s="1528"/>
      <c r="AL1" s="1528"/>
      <c r="AM1" s="1528"/>
      <c r="AN1" s="1528"/>
      <c r="AO1" s="1528"/>
      <c r="AP1" s="1528"/>
      <c r="AQ1" s="1528"/>
      <c r="AR1" s="1528"/>
      <c r="AS1" s="1528"/>
      <c r="AT1" s="1529"/>
    </row>
    <row r="2" spans="2:54" ht="20.25" customHeight="1" thickBot="1">
      <c r="B2" s="314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6" t="s">
        <v>692</v>
      </c>
      <c r="W2" s="315"/>
      <c r="X2" s="315"/>
      <c r="Y2" s="315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530" t="str">
        <f>TA413_PBNTL!M1</f>
        <v>26.06.2026</v>
      </c>
      <c r="AR2" s="1531"/>
      <c r="AS2" s="1531"/>
      <c r="AT2" s="172"/>
    </row>
    <row r="3" spans="2:54" ht="15.75" customHeight="1">
      <c r="B3" s="88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AR3" s="173"/>
      <c r="AS3" s="173"/>
      <c r="AT3" s="89"/>
    </row>
    <row r="4" spans="2:54" ht="15" customHeight="1">
      <c r="B4" s="88"/>
      <c r="C4" s="1478" t="s">
        <v>91</v>
      </c>
      <c r="D4" s="1478"/>
      <c r="E4" s="1478" t="s">
        <v>131</v>
      </c>
      <c r="F4" s="1478"/>
      <c r="G4" s="1478"/>
      <c r="H4" s="1478"/>
      <c r="I4" s="1478" t="s">
        <v>274</v>
      </c>
      <c r="J4" s="1478"/>
      <c r="K4" s="1478" t="s">
        <v>988</v>
      </c>
      <c r="L4" s="1478"/>
      <c r="M4" s="1478" t="s">
        <v>255</v>
      </c>
      <c r="N4" s="1478"/>
      <c r="O4" s="1478"/>
      <c r="P4" s="1478" t="s">
        <v>0</v>
      </c>
      <c r="Q4" s="1478"/>
      <c r="R4" s="173"/>
      <c r="S4" s="173"/>
      <c r="T4" s="173" t="s">
        <v>519</v>
      </c>
      <c r="U4" s="173"/>
      <c r="V4" s="173"/>
      <c r="W4" s="173"/>
      <c r="X4" s="173"/>
      <c r="Z4" s="317"/>
      <c r="AA4" s="318"/>
      <c r="AC4" s="1478" t="s">
        <v>190</v>
      </c>
      <c r="AD4" s="1478"/>
      <c r="AE4" s="1478"/>
      <c r="AF4" s="1478"/>
      <c r="AI4" s="317"/>
      <c r="AJ4" s="318"/>
      <c r="AL4" s="1478" t="s">
        <v>199</v>
      </c>
      <c r="AM4" s="1478"/>
      <c r="AN4" s="1478"/>
      <c r="AO4" s="1478"/>
      <c r="AP4" s="1478"/>
      <c r="AQ4" s="1478"/>
      <c r="AR4" s="173"/>
      <c r="AS4" s="173"/>
      <c r="AT4" s="89"/>
    </row>
    <row r="5" spans="2:54" ht="15" customHeight="1">
      <c r="B5" s="88"/>
      <c r="C5" s="1489">
        <v>1</v>
      </c>
      <c r="D5" s="1489"/>
      <c r="E5" s="1478" t="s">
        <v>99</v>
      </c>
      <c r="F5" s="1478"/>
      <c r="G5" s="1478"/>
      <c r="H5" s="1478"/>
      <c r="I5" s="1489" t="s">
        <v>122</v>
      </c>
      <c r="J5" s="1489"/>
      <c r="K5" s="1490">
        <f>TA413_PBNTL!D11</f>
        <v>316</v>
      </c>
      <c r="L5" s="1490"/>
      <c r="M5" s="1492">
        <f>TA413_PBNTL!J11</f>
        <v>316</v>
      </c>
      <c r="N5" s="1492"/>
      <c r="O5" s="1492"/>
      <c r="P5" s="1492">
        <f>K5-M5</f>
        <v>0</v>
      </c>
      <c r="Q5" s="1492"/>
      <c r="R5" s="173"/>
      <c r="S5" s="173"/>
      <c r="T5" s="173"/>
      <c r="U5" s="173"/>
      <c r="V5" s="173"/>
      <c r="W5" s="173"/>
      <c r="X5" s="173"/>
      <c r="Z5" s="317"/>
      <c r="AA5" s="317"/>
      <c r="AC5" s="1478" t="s">
        <v>191</v>
      </c>
      <c r="AD5" s="1478"/>
      <c r="AE5" s="1478"/>
      <c r="AF5" s="1478"/>
      <c r="AI5" s="317"/>
      <c r="AJ5" s="317"/>
      <c r="AL5" s="1478" t="s">
        <v>200</v>
      </c>
      <c r="AM5" s="1478"/>
      <c r="AN5" s="1478"/>
      <c r="AO5" s="1478"/>
      <c r="AP5" s="1478"/>
      <c r="AQ5" s="1478"/>
      <c r="AR5" s="173"/>
      <c r="AS5" s="173"/>
      <c r="AT5" s="89"/>
    </row>
    <row r="6" spans="2:54">
      <c r="B6" s="88"/>
      <c r="C6" s="1489">
        <v>2</v>
      </c>
      <c r="D6" s="1489"/>
      <c r="E6" s="1478" t="s">
        <v>34</v>
      </c>
      <c r="F6" s="1478"/>
      <c r="G6" s="1478"/>
      <c r="H6" s="1478"/>
      <c r="I6" s="1489" t="s">
        <v>122</v>
      </c>
      <c r="J6" s="1489"/>
      <c r="K6" s="1490">
        <f>TA413_PBNTL!D12</f>
        <v>309</v>
      </c>
      <c r="L6" s="1490"/>
      <c r="M6" s="1492">
        <f>TA413_PBNTL!J12</f>
        <v>308</v>
      </c>
      <c r="N6" s="1492"/>
      <c r="O6" s="1492"/>
      <c r="P6" s="1492">
        <f>K6-M6</f>
        <v>1</v>
      </c>
      <c r="Q6" s="1492"/>
      <c r="R6" s="173"/>
      <c r="S6" s="173"/>
      <c r="T6" s="173" t="s">
        <v>521</v>
      </c>
      <c r="U6" s="173"/>
      <c r="V6" s="173"/>
      <c r="W6" s="173"/>
      <c r="X6" s="173"/>
      <c r="Z6" s="1491"/>
      <c r="AA6" s="317"/>
      <c r="AB6" s="1491"/>
      <c r="AC6" s="1478" t="s">
        <v>194</v>
      </c>
      <c r="AD6" s="1478"/>
      <c r="AE6" s="1478"/>
      <c r="AF6" s="1478"/>
      <c r="AI6" s="1491"/>
      <c r="AJ6" s="317">
        <v>4</v>
      </c>
      <c r="AK6" s="1491"/>
      <c r="AL6" s="1478" t="s">
        <v>201</v>
      </c>
      <c r="AM6" s="1478"/>
      <c r="AN6" s="1478"/>
      <c r="AO6" s="1478"/>
      <c r="AP6" s="1478"/>
      <c r="AQ6" s="1478"/>
      <c r="AR6" s="173"/>
      <c r="AS6" s="173"/>
      <c r="AT6" s="89"/>
    </row>
    <row r="7" spans="2:54">
      <c r="B7" s="88"/>
      <c r="C7" s="1489">
        <v>3</v>
      </c>
      <c r="D7" s="1489"/>
      <c r="E7" s="1478" t="s">
        <v>275</v>
      </c>
      <c r="F7" s="1478"/>
      <c r="G7" s="1478"/>
      <c r="H7" s="1478"/>
      <c r="I7" s="1489" t="s">
        <v>122</v>
      </c>
      <c r="J7" s="1489"/>
      <c r="K7" s="1490">
        <f>TA413_PBNTL!D13</f>
        <v>306</v>
      </c>
      <c r="L7" s="1490"/>
      <c r="M7" s="1492">
        <f>TA413_PBNTL!J13</f>
        <v>303</v>
      </c>
      <c r="N7" s="1492"/>
      <c r="O7" s="1492"/>
      <c r="P7" s="1492">
        <f>K7-M7</f>
        <v>3</v>
      </c>
      <c r="Q7" s="1492"/>
      <c r="R7" s="173"/>
      <c r="S7" s="173"/>
      <c r="T7" s="173"/>
      <c r="U7" s="173"/>
      <c r="V7" s="173"/>
      <c r="W7" s="173"/>
      <c r="X7" s="173"/>
      <c r="Z7" s="1491"/>
      <c r="AA7" s="1533">
        <v>1</v>
      </c>
      <c r="AB7" s="1491"/>
      <c r="AC7" s="1478" t="s">
        <v>195</v>
      </c>
      <c r="AD7" s="1478"/>
      <c r="AE7" s="1478"/>
      <c r="AF7" s="1478"/>
      <c r="AI7" s="1491"/>
      <c r="AJ7" s="319"/>
      <c r="AK7" s="1491"/>
      <c r="AL7" s="1472" t="s">
        <v>202</v>
      </c>
      <c r="AM7" s="1473"/>
      <c r="AN7" s="1473"/>
      <c r="AO7" s="1473"/>
      <c r="AP7" s="1473"/>
      <c r="AQ7" s="1474"/>
      <c r="AR7" s="173"/>
      <c r="AS7" s="173"/>
      <c r="AT7" s="89"/>
    </row>
    <row r="8" spans="2:54" ht="15" customHeight="1">
      <c r="B8" s="88"/>
      <c r="C8" s="1489">
        <v>4</v>
      </c>
      <c r="D8" s="1489"/>
      <c r="E8" s="1484" t="s">
        <v>276</v>
      </c>
      <c r="F8" s="1485"/>
      <c r="G8" s="1485"/>
      <c r="H8" s="1486"/>
      <c r="I8" s="1482" t="s">
        <v>159</v>
      </c>
      <c r="J8" s="1483"/>
      <c r="K8" s="1487">
        <f>TA413_PBNTL!D17</f>
        <v>117.85085099999999</v>
      </c>
      <c r="L8" s="1488"/>
      <c r="M8" s="1479">
        <f>TA413_PBNTL!J17</f>
        <v>87.24</v>
      </c>
      <c r="N8" s="1480"/>
      <c r="O8" s="1481"/>
      <c r="P8" s="1479">
        <f>K8-M8</f>
        <v>30.610850999999997</v>
      </c>
      <c r="Q8" s="1481"/>
      <c r="R8" s="173"/>
      <c r="S8" s="173"/>
      <c r="T8" s="173" t="s">
        <v>520</v>
      </c>
      <c r="U8" s="173"/>
      <c r="V8" s="173"/>
      <c r="W8" s="173"/>
      <c r="X8" s="173"/>
      <c r="Z8" s="1491"/>
      <c r="AA8" s="1534"/>
      <c r="AB8" s="1491"/>
      <c r="AC8" s="1478"/>
      <c r="AD8" s="1478"/>
      <c r="AE8" s="1478"/>
      <c r="AF8" s="1478"/>
      <c r="AI8" s="1491"/>
      <c r="AJ8" s="320">
        <v>3</v>
      </c>
      <c r="AK8" s="1491"/>
      <c r="AL8" s="1475"/>
      <c r="AM8" s="1476"/>
      <c r="AN8" s="1476"/>
      <c r="AO8" s="1476"/>
      <c r="AP8" s="1476"/>
      <c r="AQ8" s="1477"/>
      <c r="AR8" s="173"/>
      <c r="AS8" s="173"/>
      <c r="AT8" s="89"/>
    </row>
    <row r="9" spans="2:54" ht="15" customHeight="1">
      <c r="B9" s="88"/>
      <c r="C9" s="1482">
        <v>5</v>
      </c>
      <c r="D9" s="1483"/>
      <c r="E9" s="1484" t="s">
        <v>277</v>
      </c>
      <c r="F9" s="1485"/>
      <c r="G9" s="1485"/>
      <c r="H9" s="1486"/>
      <c r="I9" s="1482" t="s">
        <v>159</v>
      </c>
      <c r="J9" s="1483"/>
      <c r="K9" s="1487">
        <f>TA413_PBNTL!D18</f>
        <v>117.85085099999999</v>
      </c>
      <c r="L9" s="1488"/>
      <c r="M9" s="1479">
        <f>TA413_PBNTL!J18</f>
        <v>79.293999999999997</v>
      </c>
      <c r="N9" s="1480"/>
      <c r="O9" s="1481"/>
      <c r="P9" s="1479">
        <f>K9-M9</f>
        <v>38.556850999999995</v>
      </c>
      <c r="Q9" s="1481"/>
      <c r="R9" s="173"/>
      <c r="S9" s="173"/>
      <c r="T9" s="173"/>
      <c r="U9" s="173"/>
      <c r="V9" s="173"/>
      <c r="W9" s="173"/>
      <c r="X9" s="173"/>
      <c r="Z9" s="1491"/>
      <c r="AA9" s="321">
        <v>1</v>
      </c>
      <c r="AB9" s="1491"/>
      <c r="AC9" s="1478" t="s">
        <v>196</v>
      </c>
      <c r="AD9" s="1478"/>
      <c r="AE9" s="1478"/>
      <c r="AF9" s="1478"/>
      <c r="AI9" s="1491"/>
      <c r="AJ9" s="322">
        <v>2</v>
      </c>
      <c r="AK9" s="1491"/>
      <c r="AL9" s="1478" t="s">
        <v>203</v>
      </c>
      <c r="AM9" s="1478"/>
      <c r="AN9" s="1478"/>
      <c r="AO9" s="1478"/>
      <c r="AP9" s="1478"/>
      <c r="AQ9" s="1478"/>
      <c r="AR9" s="173"/>
      <c r="AS9" s="173"/>
      <c r="AT9" s="89"/>
    </row>
    <row r="10" spans="2:54" ht="15" customHeight="1">
      <c r="B10" s="88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 t="s">
        <v>515</v>
      </c>
      <c r="U10" s="173"/>
      <c r="V10" s="173"/>
      <c r="W10" s="173"/>
      <c r="X10" s="173"/>
      <c r="Z10" s="317"/>
      <c r="AA10" s="317"/>
      <c r="AC10" s="1489"/>
      <c r="AD10" s="1489"/>
      <c r="AE10" s="1489"/>
      <c r="AF10" s="1489"/>
      <c r="AI10" s="317"/>
      <c r="AJ10" s="317"/>
      <c r="AL10" s="1478" t="s">
        <v>204</v>
      </c>
      <c r="AM10" s="1478"/>
      <c r="AN10" s="1478"/>
      <c r="AO10" s="1478"/>
      <c r="AP10" s="1478"/>
      <c r="AQ10" s="1478"/>
      <c r="AR10" s="173"/>
      <c r="AS10" s="173"/>
      <c r="AT10" s="89"/>
    </row>
    <row r="11" spans="2:54" ht="15" customHeight="1">
      <c r="B11" s="88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536"/>
      <c r="Q11" s="1536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89"/>
    </row>
    <row r="12" spans="2:54" ht="15" customHeight="1">
      <c r="B12" s="323"/>
      <c r="C12" s="324"/>
      <c r="D12" s="325"/>
      <c r="E12" s="326"/>
      <c r="F12" s="324"/>
      <c r="G12" s="324"/>
      <c r="H12" s="327"/>
      <c r="I12" s="328"/>
      <c r="J12" s="327"/>
      <c r="K12" s="328"/>
      <c r="L12" s="328"/>
      <c r="M12" s="328"/>
      <c r="N12" s="327"/>
      <c r="O12" s="328"/>
      <c r="P12" s="327"/>
      <c r="Q12" s="328">
        <f>O12+1</f>
        <v>1</v>
      </c>
      <c r="R12" s="328"/>
      <c r="S12" s="328">
        <v>2</v>
      </c>
      <c r="T12" s="328"/>
      <c r="U12" s="328">
        <f>S12+1</f>
        <v>3</v>
      </c>
      <c r="V12" s="328"/>
      <c r="W12" s="328">
        <f>U12+1</f>
        <v>4</v>
      </c>
      <c r="X12" s="328"/>
      <c r="Y12" s="328">
        <f>W12+1</f>
        <v>5</v>
      </c>
      <c r="Z12" s="328"/>
      <c r="AA12" s="328">
        <f>Y12+1</f>
        <v>6</v>
      </c>
      <c r="AB12" s="328"/>
      <c r="AC12" s="328">
        <f>AA12+1</f>
        <v>7</v>
      </c>
      <c r="AD12" s="328"/>
      <c r="AE12" s="328">
        <f>AC12+1</f>
        <v>8</v>
      </c>
      <c r="AF12" s="328"/>
      <c r="AG12" s="328">
        <f>AE12+1</f>
        <v>9</v>
      </c>
      <c r="AH12" s="328"/>
      <c r="AI12" s="328">
        <f>AG12+1</f>
        <v>10</v>
      </c>
      <c r="AJ12" s="328"/>
      <c r="AK12" s="328">
        <f>AI12+1</f>
        <v>11</v>
      </c>
      <c r="AL12" s="328"/>
      <c r="AM12" s="328">
        <f>AK12+1</f>
        <v>12</v>
      </c>
      <c r="AN12" s="328"/>
      <c r="AO12" s="328">
        <f>AM12+1</f>
        <v>13</v>
      </c>
      <c r="AP12" s="328"/>
      <c r="AQ12" s="328">
        <f>AO12+1</f>
        <v>14</v>
      </c>
      <c r="AR12" s="328"/>
      <c r="AS12" s="328">
        <f>AQ12+1</f>
        <v>15</v>
      </c>
      <c r="AT12" s="329"/>
      <c r="BB12" s="949"/>
    </row>
    <row r="13" spans="2:54" ht="15" customHeight="1">
      <c r="B13" s="323"/>
      <c r="C13" s="324"/>
      <c r="D13" s="325" t="s">
        <v>655</v>
      </c>
      <c r="E13" s="326"/>
      <c r="F13" s="324"/>
      <c r="G13" s="324"/>
      <c r="H13" s="330"/>
      <c r="I13" s="328"/>
      <c r="J13" s="330"/>
      <c r="K13" s="330"/>
      <c r="L13" s="330"/>
      <c r="M13" s="330"/>
      <c r="N13" s="331"/>
      <c r="O13" s="332" t="s">
        <v>1162</v>
      </c>
      <c r="P13" s="331"/>
      <c r="Q13" s="332" t="s">
        <v>268</v>
      </c>
      <c r="R13" s="332"/>
      <c r="S13" s="332" t="s">
        <v>1250</v>
      </c>
      <c r="T13" s="332"/>
      <c r="U13" s="332" t="s">
        <v>1252</v>
      </c>
      <c r="V13" s="332"/>
      <c r="W13" s="332" t="s">
        <v>1253</v>
      </c>
      <c r="X13" s="332"/>
      <c r="Y13" s="332" t="s">
        <v>1254</v>
      </c>
      <c r="Z13" s="332"/>
      <c r="AA13" s="332" t="s">
        <v>1255</v>
      </c>
      <c r="AB13" s="332"/>
      <c r="AC13" s="332" t="s">
        <v>1256</v>
      </c>
      <c r="AD13" s="332"/>
      <c r="AE13" s="332" t="s">
        <v>1257</v>
      </c>
      <c r="AF13" s="332"/>
      <c r="AG13" s="332" t="s">
        <v>1258</v>
      </c>
      <c r="AH13" s="332"/>
      <c r="AI13" s="332" t="s">
        <v>1259</v>
      </c>
      <c r="AJ13" s="332"/>
      <c r="AK13" s="332" t="s">
        <v>1260</v>
      </c>
      <c r="AL13" s="332"/>
      <c r="AM13" s="332" t="s">
        <v>1261</v>
      </c>
      <c r="AN13" s="332"/>
      <c r="AO13" s="332" t="s">
        <v>1262</v>
      </c>
      <c r="AP13" s="332"/>
      <c r="AQ13" s="332" t="s">
        <v>1263</v>
      </c>
      <c r="AR13" s="332"/>
      <c r="AS13" s="332" t="s">
        <v>1264</v>
      </c>
      <c r="AT13" s="329"/>
    </row>
    <row r="14" spans="2:54" ht="15" customHeight="1">
      <c r="B14" s="333"/>
      <c r="C14" s="334"/>
      <c r="D14" s="334"/>
      <c r="E14" s="334"/>
      <c r="F14" s="334"/>
      <c r="G14" s="334"/>
      <c r="T14" s="317"/>
      <c r="V14" s="317"/>
      <c r="X14" s="317"/>
      <c r="Z14" s="317"/>
      <c r="AB14" s="317"/>
      <c r="AD14" s="317"/>
      <c r="AF14" s="317"/>
      <c r="AH14" s="317"/>
      <c r="AJ14" s="317"/>
      <c r="AL14" s="317"/>
      <c r="AN14" s="317"/>
      <c r="AP14" s="317"/>
      <c r="AR14" s="317"/>
      <c r="AT14" s="329"/>
    </row>
    <row r="15" spans="2:54" ht="15" customHeight="1">
      <c r="B15" s="1535"/>
      <c r="C15" s="334"/>
      <c r="D15" s="325" t="s">
        <v>278</v>
      </c>
      <c r="E15" s="334"/>
      <c r="F15" s="334"/>
      <c r="G15" s="334"/>
      <c r="H15" s="336"/>
      <c r="AT15" s="329"/>
      <c r="AW15" s="953"/>
      <c r="AX15" s="953"/>
      <c r="AY15" s="953"/>
      <c r="AZ15" s="953"/>
      <c r="BA15" s="953"/>
      <c r="BB15" s="953"/>
    </row>
    <row r="16" spans="2:54" ht="21" customHeight="1">
      <c r="B16" s="1535"/>
      <c r="C16" s="334"/>
      <c r="D16" s="334"/>
      <c r="E16" s="334"/>
      <c r="F16" s="334"/>
      <c r="G16" s="334"/>
      <c r="K16" s="337" t="s">
        <v>312</v>
      </c>
      <c r="O16" s="338"/>
      <c r="P16" s="317">
        <v>150</v>
      </c>
      <c r="Q16" s="662">
        <v>3</v>
      </c>
      <c r="R16" s="340">
        <v>290.20999999999998</v>
      </c>
      <c r="S16" s="662">
        <v>3</v>
      </c>
      <c r="T16" s="340">
        <f>VLOOKUP(S13,'Location Summary'!$G$2:$H$604,2,FALSE)</f>
        <v>378</v>
      </c>
      <c r="U16" s="662">
        <v>3</v>
      </c>
      <c r="V16" s="340">
        <f>VLOOKUP(U13,'Location Summary'!$G$2:$H$604,2,FALSE)</f>
        <v>381</v>
      </c>
      <c r="W16" s="662">
        <v>3</v>
      </c>
      <c r="X16" s="340">
        <f>VLOOKUP(W13,'Location Summary'!$G$2:$H$604,2,FALSE)</f>
        <v>419</v>
      </c>
      <c r="Y16" s="662">
        <v>3</v>
      </c>
      <c r="Z16" s="340">
        <f>VLOOKUP(Y13,'Location Summary'!$G$2:$H$604,2,FALSE)</f>
        <v>422</v>
      </c>
      <c r="AA16" s="662">
        <v>3</v>
      </c>
      <c r="AB16" s="340">
        <f>VLOOKUP(AA13,'Location Summary'!$G$2:$H$604,2,FALSE)</f>
        <v>399</v>
      </c>
      <c r="AC16" s="662">
        <v>3</v>
      </c>
      <c r="AD16" s="340">
        <f>VLOOKUP(AC13,'Location Summary'!$G$2:$H$604,2,FALSE)</f>
        <v>423</v>
      </c>
      <c r="AE16" s="339">
        <v>3</v>
      </c>
      <c r="AF16" s="340">
        <f>VLOOKUP(AE13,'Location Summary'!$G$2:$H$604,2,FALSE)</f>
        <v>414.99200000000002</v>
      </c>
      <c r="AG16" s="662">
        <v>3</v>
      </c>
      <c r="AH16" s="340">
        <f>VLOOKUP(AG13,'Location Summary'!$G$2:$H$604,2,FALSE)</f>
        <v>409</v>
      </c>
      <c r="AI16" s="339">
        <v>3</v>
      </c>
      <c r="AJ16" s="340">
        <f>VLOOKUP(AI13,'Location Summary'!$G$2:$H$604,2,FALSE)</f>
        <v>402</v>
      </c>
      <c r="AK16" s="339">
        <v>3</v>
      </c>
      <c r="AL16" s="340">
        <f>VLOOKUP(AK13,'Location Summary'!$G$2:$H$604,2,FALSE)</f>
        <v>409</v>
      </c>
      <c r="AM16" s="339">
        <v>3</v>
      </c>
      <c r="AN16" s="340">
        <f>VLOOKUP(AM13,'Location Summary'!$G$2:$H$604,2,FALSE)</f>
        <v>337</v>
      </c>
      <c r="AO16" s="339">
        <v>3</v>
      </c>
      <c r="AP16" s="340">
        <f>VLOOKUP(AO13,'Location Summary'!$G$2:$H$604,2,FALSE)</f>
        <v>365</v>
      </c>
      <c r="AQ16" s="339">
        <v>3</v>
      </c>
      <c r="AR16" s="340">
        <f>VLOOKUP(AQ13,'Location Summary'!$G$2:$H$604,2,FALSE)</f>
        <v>378</v>
      </c>
      <c r="AS16" s="339">
        <v>3</v>
      </c>
      <c r="AT16" s="341">
        <f>VLOOKUP(AS13,'Location Summary'!$G$2:$H$604,2,FALSE)</f>
        <v>391.46699999999998</v>
      </c>
    </row>
    <row r="17" spans="2:53" ht="15" customHeight="1">
      <c r="B17" s="1535"/>
      <c r="C17" s="324"/>
      <c r="D17" s="342" t="s">
        <v>279</v>
      </c>
      <c r="E17" s="342"/>
      <c r="F17" s="324"/>
      <c r="G17" s="324"/>
      <c r="H17" s="336"/>
      <c r="I17" s="331"/>
      <c r="J17" s="331"/>
      <c r="K17" s="331"/>
      <c r="L17" s="331"/>
      <c r="O17" s="343"/>
      <c r="P17" s="331"/>
      <c r="Q17" s="344">
        <v>2</v>
      </c>
      <c r="S17" s="344">
        <v>2</v>
      </c>
      <c r="U17" s="344">
        <v>2</v>
      </c>
      <c r="W17" s="344">
        <v>2</v>
      </c>
      <c r="Y17" s="344">
        <v>2</v>
      </c>
      <c r="AA17" s="344">
        <v>2</v>
      </c>
      <c r="AC17" s="344">
        <v>2</v>
      </c>
      <c r="AE17" s="344">
        <v>2</v>
      </c>
      <c r="AG17" s="344">
        <v>2</v>
      </c>
      <c r="AI17" s="344">
        <v>2</v>
      </c>
      <c r="AK17" s="344">
        <v>2</v>
      </c>
      <c r="AM17" s="344">
        <v>2</v>
      </c>
      <c r="AO17" s="344">
        <v>2</v>
      </c>
      <c r="AQ17" s="344">
        <v>2</v>
      </c>
      <c r="AS17" s="344">
        <v>2</v>
      </c>
      <c r="AT17" s="329"/>
      <c r="BA17" s="950"/>
    </row>
    <row r="18" spans="2:53" ht="15" customHeight="1">
      <c r="B18" s="335"/>
      <c r="C18" s="324"/>
      <c r="D18" s="324"/>
      <c r="E18" s="324"/>
      <c r="F18" s="324"/>
      <c r="G18" s="324"/>
      <c r="H18" s="331"/>
      <c r="I18" s="331"/>
      <c r="J18" s="331"/>
      <c r="K18" s="331"/>
      <c r="L18" s="331"/>
      <c r="O18" s="317" t="s">
        <v>244</v>
      </c>
      <c r="P18" s="331"/>
      <c r="Q18" s="317" t="str">
        <f>VLOOKUP(Q13,'Location Summary'!$C$2:$J$604,2,FALSE)</f>
        <v>DD60+0</v>
      </c>
      <c r="R18" s="331"/>
      <c r="S18" s="317" t="str">
        <f>VLOOKUP(S13,'Location Summary'!$C$2:$J$604,2,FALSE)</f>
        <v>DD45+0</v>
      </c>
      <c r="T18" s="345"/>
      <c r="U18" s="317" t="str">
        <f>VLOOKUP(U13,'Location Summary'!$C$2:$J$604,2,FALSE)</f>
        <v>DA+0</v>
      </c>
      <c r="V18" s="345"/>
      <c r="W18" s="317" t="str">
        <f>VLOOKUP(W13,'Location Summary'!$C$2:$J$604,2,FALSE)</f>
        <v>DA+3</v>
      </c>
      <c r="X18" s="345"/>
      <c r="Y18" s="317" t="str">
        <f>VLOOKUP(Y13,'Location Summary'!$C$2:$J$604,2,FALSE)</f>
        <v>DA+3</v>
      </c>
      <c r="Z18" s="345"/>
      <c r="AA18" s="317" t="str">
        <f>VLOOKUP(AA13,'Location Summary'!$C$2:$J$604,2,FALSE)</f>
        <v>DA+3</v>
      </c>
      <c r="AB18" s="345"/>
      <c r="AC18" s="317" t="str">
        <f>VLOOKUP(AC13,'Location Summary'!$C$2:$J$604,2,FALSE)</f>
        <v>DA+3</v>
      </c>
      <c r="AD18" s="345"/>
      <c r="AE18" s="317" t="str">
        <f>VLOOKUP(AE13,'Location Summary'!$C$2:$J$604,2,FALSE)</f>
        <v>DA+6</v>
      </c>
      <c r="AF18" s="345"/>
      <c r="AG18" s="317" t="str">
        <f>VLOOKUP(AG13,'Location Summary'!$C$2:$J$604,2,FALSE)</f>
        <v>DD45+3</v>
      </c>
      <c r="AH18" s="345"/>
      <c r="AI18" s="317" t="str">
        <f>VLOOKUP(AI13,'Location Summary'!$C$2:$J$604,2,FALSE)</f>
        <v>DA+3</v>
      </c>
      <c r="AJ18" s="345"/>
      <c r="AK18" s="317" t="str">
        <f>VLOOKUP(AK13,'Location Summary'!$C$2:$J$604,2,FALSE)</f>
        <v>DA+3</v>
      </c>
      <c r="AL18" s="345"/>
      <c r="AM18" s="317" t="str">
        <f>VLOOKUP(AM13,'Location Summary'!$C$2:$J$604,2,FALSE)</f>
        <v>DA+0</v>
      </c>
      <c r="AN18" s="345"/>
      <c r="AO18" s="317" t="str">
        <f>VLOOKUP(AO13,'Location Summary'!$C$2:$J$604,2,FALSE)</f>
        <v>DA+0</v>
      </c>
      <c r="AP18" s="345"/>
      <c r="AQ18" s="317" t="str">
        <f>VLOOKUP(AQ13,'Location Summary'!$C$2:$J$604,2,FALSE)</f>
        <v>DA+3</v>
      </c>
      <c r="AS18" s="317" t="str">
        <f>VLOOKUP(AS13,'Location Summary'!$C$2:$J$604,2,FALSE)</f>
        <v>DA+0</v>
      </c>
      <c r="AT18" s="329"/>
    </row>
    <row r="19" spans="2:53" ht="15" customHeight="1">
      <c r="B19" s="335"/>
      <c r="C19" s="324"/>
      <c r="D19" s="324"/>
      <c r="E19" s="324"/>
      <c r="F19" s="324"/>
      <c r="G19" s="324"/>
      <c r="H19" s="331"/>
      <c r="I19" s="331"/>
      <c r="J19" s="331"/>
      <c r="K19" s="331"/>
      <c r="L19" s="331"/>
      <c r="M19" s="331"/>
      <c r="N19" s="331"/>
      <c r="O19" s="331"/>
      <c r="P19" s="331"/>
      <c r="Q19" s="1023"/>
      <c r="R19" s="1023"/>
      <c r="S19" s="1023"/>
      <c r="T19" s="1023"/>
      <c r="U19" s="1023"/>
      <c r="V19" s="345"/>
      <c r="W19" s="317"/>
      <c r="X19" s="345"/>
      <c r="Y19" s="346"/>
      <c r="Z19" s="345"/>
      <c r="AA19" s="317"/>
      <c r="AB19" s="345"/>
      <c r="AC19" s="317"/>
      <c r="AD19" s="345"/>
      <c r="AE19" s="317"/>
      <c r="AF19" s="345"/>
      <c r="AG19" s="347"/>
      <c r="AH19" s="347"/>
      <c r="AI19" s="347"/>
      <c r="AJ19" s="347"/>
      <c r="AK19" s="347"/>
      <c r="AL19" s="347"/>
      <c r="AM19" s="347"/>
      <c r="AN19" s="347"/>
      <c r="AO19" s="347"/>
      <c r="AP19" s="347"/>
      <c r="AQ19" s="347"/>
      <c r="AR19" s="347"/>
      <c r="AS19" s="347"/>
      <c r="AT19" s="329"/>
    </row>
    <row r="20" spans="2:53" ht="15" customHeight="1">
      <c r="B20" s="348"/>
      <c r="C20" s="346">
        <f>AS12+1</f>
        <v>16</v>
      </c>
      <c r="D20" s="346"/>
      <c r="E20" s="346">
        <f>C20+1</f>
        <v>17</v>
      </c>
      <c r="F20" s="346"/>
      <c r="G20" s="346">
        <f>E20+1</f>
        <v>18</v>
      </c>
      <c r="H20" s="346"/>
      <c r="I20" s="346">
        <f>G20+1</f>
        <v>19</v>
      </c>
      <c r="J20" s="346"/>
      <c r="K20" s="346">
        <f>I20+1</f>
        <v>20</v>
      </c>
      <c r="L20" s="346"/>
      <c r="M20" s="346">
        <f>K20+1</f>
        <v>21</v>
      </c>
      <c r="N20" s="346"/>
      <c r="O20" s="346">
        <f>M20+1</f>
        <v>22</v>
      </c>
      <c r="P20" s="346"/>
      <c r="Q20" s="346">
        <f>O20+1</f>
        <v>23</v>
      </c>
      <c r="R20" s="346"/>
      <c r="S20" s="346">
        <f>Q20+1</f>
        <v>24</v>
      </c>
      <c r="T20" s="346"/>
      <c r="U20" s="346">
        <f>S20+1</f>
        <v>25</v>
      </c>
      <c r="V20" s="346"/>
      <c r="W20" s="346">
        <f>U20+1</f>
        <v>26</v>
      </c>
      <c r="X20" s="346"/>
      <c r="Y20" s="346">
        <f>W20+1</f>
        <v>27</v>
      </c>
      <c r="Z20" s="346"/>
      <c r="AA20" s="346">
        <f>Y20+1</f>
        <v>28</v>
      </c>
      <c r="AB20" s="346"/>
      <c r="AC20" s="346">
        <f>AA20+1</f>
        <v>29</v>
      </c>
      <c r="AD20" s="346"/>
      <c r="AE20" s="346">
        <f>AC20+1</f>
        <v>30</v>
      </c>
      <c r="AF20" s="346"/>
      <c r="AG20" s="346">
        <f>AE20+1</f>
        <v>31</v>
      </c>
      <c r="AH20" s="346"/>
      <c r="AI20" s="346">
        <f>AG20+1</f>
        <v>32</v>
      </c>
      <c r="AJ20" s="346"/>
      <c r="AK20" s="346">
        <f>AI20+1</f>
        <v>33</v>
      </c>
      <c r="AL20" s="346"/>
      <c r="AM20" s="346">
        <f>AK20+1</f>
        <v>34</v>
      </c>
      <c r="AN20" s="346"/>
      <c r="AO20" s="346">
        <f>AM20+1</f>
        <v>35</v>
      </c>
      <c r="AP20" s="346"/>
      <c r="AQ20" s="346">
        <f>AO20+1</f>
        <v>36</v>
      </c>
      <c r="AR20" s="346"/>
      <c r="AS20" s="346">
        <f>AQ20+1</f>
        <v>37</v>
      </c>
      <c r="AT20" s="329"/>
    </row>
    <row r="21" spans="2:53" s="354" customFormat="1" ht="15" customHeight="1">
      <c r="B21" s="349"/>
      <c r="C21" s="350" t="s">
        <v>1265</v>
      </c>
      <c r="D21" s="346"/>
      <c r="E21" s="350" t="s">
        <v>1266</v>
      </c>
      <c r="F21" s="346"/>
      <c r="G21" s="350" t="s">
        <v>1267</v>
      </c>
      <c r="H21" s="346"/>
      <c r="I21" s="332" t="s">
        <v>1268</v>
      </c>
      <c r="J21" s="351"/>
      <c r="K21" s="332" t="s">
        <v>256</v>
      </c>
      <c r="L21" s="346"/>
      <c r="M21" s="352" t="s">
        <v>454</v>
      </c>
      <c r="N21" s="346"/>
      <c r="O21" s="350" t="s">
        <v>892</v>
      </c>
      <c r="P21" s="346"/>
      <c r="Q21" s="350" t="s">
        <v>893</v>
      </c>
      <c r="R21" s="346"/>
      <c r="S21" s="332" t="s">
        <v>894</v>
      </c>
      <c r="T21" s="346"/>
      <c r="U21" s="332" t="s">
        <v>895</v>
      </c>
      <c r="V21" s="346"/>
      <c r="W21" s="332" t="s">
        <v>896</v>
      </c>
      <c r="Y21" s="350" t="s">
        <v>897</v>
      </c>
      <c r="Z21" s="346"/>
      <c r="AA21" s="350" t="s">
        <v>898</v>
      </c>
      <c r="AB21" s="346"/>
      <c r="AC21" s="350" t="s">
        <v>257</v>
      </c>
      <c r="AD21" s="346"/>
      <c r="AE21" s="350" t="s">
        <v>459</v>
      </c>
      <c r="AF21" s="346"/>
      <c r="AG21" s="350" t="s">
        <v>460</v>
      </c>
      <c r="AH21" s="346"/>
      <c r="AI21" s="332" t="s">
        <v>461</v>
      </c>
      <c r="AJ21" s="351"/>
      <c r="AK21" s="332" t="s">
        <v>462</v>
      </c>
      <c r="AL21" s="346"/>
      <c r="AM21" s="352" t="s">
        <v>463</v>
      </c>
      <c r="AN21" s="346"/>
      <c r="AO21" s="350" t="s">
        <v>464</v>
      </c>
      <c r="AP21" s="346"/>
      <c r="AQ21" s="350" t="s">
        <v>465</v>
      </c>
      <c r="AR21" s="346"/>
      <c r="AS21" s="332" t="s">
        <v>466</v>
      </c>
      <c r="AT21" s="353"/>
      <c r="AU21" s="332"/>
      <c r="AV21" s="346"/>
    </row>
    <row r="22" spans="2:53" ht="15" customHeight="1">
      <c r="B22" s="355"/>
      <c r="T22" s="317"/>
      <c r="V22" s="317"/>
      <c r="X22" s="317"/>
      <c r="Z22" s="317"/>
      <c r="AB22" s="317"/>
      <c r="AD22" s="317"/>
      <c r="AF22" s="317"/>
      <c r="AH22" s="317"/>
      <c r="AJ22" s="317"/>
      <c r="AL22" s="317"/>
      <c r="AN22" s="317"/>
      <c r="AP22" s="317"/>
      <c r="AR22" s="317"/>
      <c r="AT22" s="329"/>
    </row>
    <row r="23" spans="2:53" ht="15" customHeight="1">
      <c r="B23" s="1532"/>
      <c r="AT23" s="329"/>
    </row>
    <row r="24" spans="2:53" ht="20.25" customHeight="1">
      <c r="B24" s="1532"/>
      <c r="C24" s="662">
        <v>3</v>
      </c>
      <c r="D24" s="340">
        <f>VLOOKUP(C21,'Location Summary'!$G$2:$H$604,2,FALSE)</f>
        <v>356</v>
      </c>
      <c r="E24" s="662">
        <v>3</v>
      </c>
      <c r="F24" s="340">
        <f>VLOOKUP(E21,'Location Summary'!$G$2:$H$604,2,FALSE)</f>
        <v>439</v>
      </c>
      <c r="G24" s="662">
        <v>3</v>
      </c>
      <c r="H24" s="340">
        <f>VLOOKUP(G21,'Location Summary'!$G$2:$H$604,2,FALSE)</f>
        <v>377</v>
      </c>
      <c r="I24" s="662">
        <v>3</v>
      </c>
      <c r="J24" s="340">
        <f>VLOOKUP(I21,'Location Summary'!$G$2:$H$604,2,FALSE)</f>
        <v>455.07</v>
      </c>
      <c r="K24" s="662">
        <v>3</v>
      </c>
      <c r="L24" s="340">
        <f>VLOOKUP(K21,'Location Summary'!$G$2:$H$604,2,FALSE)</f>
        <v>344.16300000000001</v>
      </c>
      <c r="M24" s="339">
        <v>3</v>
      </c>
      <c r="N24" s="340">
        <f>VLOOKUP(M21,'Location Summary'!$G$2:$H$604,2,FALSE)</f>
        <v>365</v>
      </c>
      <c r="O24" s="339">
        <v>3</v>
      </c>
      <c r="P24" s="340">
        <f>VLOOKUP(O21,'Location Summary'!$G$2:$H$604,2,FALSE)</f>
        <v>340</v>
      </c>
      <c r="Q24" s="339">
        <v>3</v>
      </c>
      <c r="R24" s="340">
        <f>VLOOKUP(Q21,'Location Summary'!$G$2:$H$604,2,FALSE)</f>
        <v>420</v>
      </c>
      <c r="S24" s="339">
        <v>3</v>
      </c>
      <c r="T24" s="340">
        <f>VLOOKUP(S21,'Location Summary'!$G$2:$H$604,2,FALSE)</f>
        <v>415</v>
      </c>
      <c r="U24" s="339">
        <v>3</v>
      </c>
      <c r="V24" s="340">
        <f>VLOOKUP(U21,'Location Summary'!$G$2:$H$604,2,FALSE)</f>
        <v>365</v>
      </c>
      <c r="W24" s="339">
        <v>3</v>
      </c>
      <c r="X24" s="340">
        <f>VLOOKUP(W21,'Location Summary'!$G$2:$H$604,2,FALSE)</f>
        <v>330</v>
      </c>
      <c r="Y24" s="339">
        <v>3</v>
      </c>
      <c r="Z24" s="340">
        <f>VLOOKUP(Y21,'Location Summary'!$G$2:$H$604,2,FALSE)</f>
        <v>457</v>
      </c>
      <c r="AA24" s="339">
        <v>3</v>
      </c>
      <c r="AB24" s="340">
        <f>VLOOKUP(AA21,'Location Summary'!$G$2:$H$604,2,FALSE)</f>
        <v>354.61099999999999</v>
      </c>
      <c r="AC24" s="662">
        <v>3</v>
      </c>
      <c r="AD24" s="340">
        <f>VLOOKUP(AC21,'Location Summary'!$G$2:$H$604,2,FALSE)</f>
        <v>428.38900000000001</v>
      </c>
      <c r="AE24" s="662">
        <v>3</v>
      </c>
      <c r="AF24" s="340">
        <f>VLOOKUP(AE21,'Location Summary'!$G$2:$H$604,2,FALSE)</f>
        <v>340</v>
      </c>
      <c r="AG24" s="339">
        <v>3</v>
      </c>
      <c r="AH24" s="340">
        <f>VLOOKUP(AG21,'Location Summary'!$G$2:$H$604,2,FALSE)</f>
        <v>375</v>
      </c>
      <c r="AI24" s="339">
        <v>3</v>
      </c>
      <c r="AJ24" s="340">
        <f>VLOOKUP(AI21,'Location Summary'!$G$2:$H$604,2,FALSE)</f>
        <v>365</v>
      </c>
      <c r="AK24" s="339">
        <v>3</v>
      </c>
      <c r="AL24" s="340">
        <f>VLOOKUP(AK21,'Location Summary'!$G$2:$H$604,2,FALSE)</f>
        <v>460</v>
      </c>
      <c r="AM24" s="339">
        <v>3</v>
      </c>
      <c r="AN24" s="340">
        <f>VLOOKUP(AM21,'Location Summary'!$G$2:$H$604,2,FALSE)</f>
        <v>380</v>
      </c>
      <c r="AO24" s="339">
        <v>3</v>
      </c>
      <c r="AP24" s="340">
        <f>VLOOKUP(AO21,'Location Summary'!$G$2:$H$604,2,FALSE)</f>
        <v>410</v>
      </c>
      <c r="AQ24" s="339">
        <v>3</v>
      </c>
      <c r="AR24" s="340">
        <f>VLOOKUP(AQ21,'Location Summary'!$G$2:$H$604,2,FALSE)</f>
        <v>400</v>
      </c>
      <c r="AS24" s="339">
        <v>3</v>
      </c>
      <c r="AT24" s="341">
        <f>VLOOKUP(AS21,'Location Summary'!$G$2:$H$604,2,FALSE)</f>
        <v>420</v>
      </c>
    </row>
    <row r="25" spans="2:53" ht="15" customHeight="1">
      <c r="B25" s="1532"/>
      <c r="C25" s="344">
        <v>2</v>
      </c>
      <c r="E25" s="344">
        <v>2</v>
      </c>
      <c r="G25" s="344">
        <v>2</v>
      </c>
      <c r="I25" s="344">
        <v>2</v>
      </c>
      <c r="K25" s="344">
        <v>2</v>
      </c>
      <c r="M25" s="344">
        <v>2</v>
      </c>
      <c r="O25" s="344">
        <v>2</v>
      </c>
      <c r="Q25" s="344">
        <v>2</v>
      </c>
      <c r="S25" s="344">
        <v>2</v>
      </c>
      <c r="U25" s="344">
        <v>2</v>
      </c>
      <c r="W25" s="344">
        <v>2</v>
      </c>
      <c r="Y25" s="344">
        <v>2</v>
      </c>
      <c r="AA25" s="344">
        <v>2</v>
      </c>
      <c r="AC25" s="344">
        <v>2</v>
      </c>
      <c r="AE25" s="344">
        <v>2</v>
      </c>
      <c r="AG25" s="344">
        <v>2</v>
      </c>
      <c r="AI25" s="344">
        <v>2</v>
      </c>
      <c r="AK25" s="344">
        <v>2</v>
      </c>
      <c r="AM25" s="344">
        <v>2</v>
      </c>
      <c r="AO25" s="344">
        <v>2</v>
      </c>
      <c r="AQ25" s="344">
        <v>2</v>
      </c>
      <c r="AS25" s="344">
        <v>2</v>
      </c>
      <c r="AT25" s="329"/>
    </row>
    <row r="26" spans="2:53" ht="15" customHeight="1">
      <c r="B26" s="355"/>
      <c r="C26" s="317" t="str">
        <f>VLOOKUP(C21,'Location Summary'!$C$2:$J$604,2,FALSE)</f>
        <v>DB1+9</v>
      </c>
      <c r="D26" s="331"/>
      <c r="E26" s="317" t="str">
        <f>VLOOKUP(E21,'Location Summary'!$C$2:$J$604,2,FALSE)</f>
        <v>DA+3</v>
      </c>
      <c r="F26" s="331"/>
      <c r="G26" s="317" t="str">
        <f>VLOOKUP(G21,'Location Summary'!$C$2:$J$604,2,FALSE)</f>
        <v>DA+9</v>
      </c>
      <c r="H26" s="331"/>
      <c r="I26" s="317" t="str">
        <f>VLOOKUP(I21,'Location Summary'!$C$2:$J$604,2,FALSE)</f>
        <v>DA+6</v>
      </c>
      <c r="J26" s="331"/>
      <c r="K26" s="317" t="str">
        <f>VLOOKUP(K21,'Location Summary'!$C$2:$J$604,2,FALSE)</f>
        <v>DB2+9</v>
      </c>
      <c r="L26" s="331"/>
      <c r="M26" s="317" t="str">
        <f>VLOOKUP(M21,'Location Summary'!$C$2:$J$604,2,FALSE)</f>
        <v>DA+6</v>
      </c>
      <c r="N26" s="331"/>
      <c r="O26" s="317" t="str">
        <f>VLOOKUP(O21,'Location Summary'!$C$2:$J$604,2,FALSE)</f>
        <v>DB1+3</v>
      </c>
      <c r="P26" s="331"/>
      <c r="Q26" s="317" t="str">
        <f>VLOOKUP(Q21,'Location Summary'!$C$2:$J$604,2,FALSE)</f>
        <v>DA+6</v>
      </c>
      <c r="R26" s="331"/>
      <c r="S26" s="317" t="str">
        <f>VLOOKUP(S21,'Location Summary'!$C$2:$J$604,2,FALSE)</f>
        <v>DA+6</v>
      </c>
      <c r="T26" s="345"/>
      <c r="U26" s="317" t="str">
        <f>VLOOKUP(U21,'Location Summary'!$C$2:$J$604,2,FALSE)</f>
        <v>DA+9</v>
      </c>
      <c r="V26" s="345"/>
      <c r="W26" s="317" t="str">
        <f>VLOOKUP(W21,'Location Summary'!$C$2:$J$604,2,FALSE)</f>
        <v>DA+6</v>
      </c>
      <c r="X26" s="345"/>
      <c r="Y26" s="317" t="str">
        <f>VLOOKUP(Y21,'Location Summary'!$C$2:$J$604,2,FALSE)</f>
        <v>DA+9</v>
      </c>
      <c r="Z26" s="345"/>
      <c r="AA26" s="317" t="str">
        <f>VLOOKUP(AA21,'Location Summary'!$C$2:$J$604,2,FALSE)</f>
        <v>DA+9</v>
      </c>
      <c r="AB26" s="345"/>
      <c r="AC26" s="317" t="str">
        <f>VLOOKUP(AC21,'Location Summary'!$C$2:$J$604,2,FALSE)</f>
        <v>DB1+6</v>
      </c>
      <c r="AD26" s="345"/>
      <c r="AE26" s="317" t="str">
        <f>VLOOKUP(AE21,'Location Summary'!$C$2:$J$604,2,FALSE)</f>
        <v>DA+6</v>
      </c>
      <c r="AF26" s="345"/>
      <c r="AG26" s="317" t="str">
        <f>VLOOKUP(AG21,'Location Summary'!$C$2:$J$604,2,FALSE)</f>
        <v>DA+9</v>
      </c>
      <c r="AH26" s="345"/>
      <c r="AI26" s="317" t="str">
        <f>VLOOKUP(AI21,'Location Summary'!$C$2:$J$604,2,FALSE)</f>
        <v>DA+9</v>
      </c>
      <c r="AJ26" s="345"/>
      <c r="AK26" s="317" t="str">
        <f>VLOOKUP(AK21,'Location Summary'!$C$2:$J$604,2,FALSE)</f>
        <v>DA-1.5</v>
      </c>
      <c r="AL26" s="345"/>
      <c r="AM26" s="317" t="str">
        <f>VLOOKUP(AM21,'Location Summary'!$C$2:$J$604,2,FALSE)</f>
        <v>DA+6</v>
      </c>
      <c r="AN26" s="345"/>
      <c r="AO26" s="317" t="str">
        <f>VLOOKUP(AO21,'Location Summary'!$C$2:$J$604,2,FALSE)</f>
        <v>DA+3</v>
      </c>
      <c r="AP26" s="345"/>
      <c r="AQ26" s="317" t="str">
        <f>VLOOKUP(AQ21,'Location Summary'!$C$2:$J$604,2,FALSE)</f>
        <v>DA+9</v>
      </c>
      <c r="AS26" s="317" t="str">
        <f>VLOOKUP(AS21,'Location Summary'!$C$2:$J$604,2,FALSE)</f>
        <v>DA+6</v>
      </c>
      <c r="AT26" s="329"/>
    </row>
    <row r="27" spans="2:53" ht="15" customHeight="1">
      <c r="B27" s="958"/>
      <c r="C27" s="345"/>
      <c r="D27" s="345"/>
      <c r="E27" s="328"/>
      <c r="F27" s="356"/>
      <c r="G27" s="327"/>
      <c r="H27" s="356"/>
      <c r="I27" s="346"/>
      <c r="J27" s="356"/>
      <c r="K27" s="327"/>
      <c r="L27" s="327"/>
      <c r="M27" s="327"/>
      <c r="N27" s="32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7"/>
      <c r="AM27" s="317"/>
      <c r="AT27" s="329"/>
    </row>
    <row r="28" spans="2:53" ht="15" customHeight="1">
      <c r="B28" s="348"/>
      <c r="C28" s="346">
        <f>AS20+1</f>
        <v>38</v>
      </c>
      <c r="D28" s="346"/>
      <c r="E28" s="346">
        <f>C28+1</f>
        <v>39</v>
      </c>
      <c r="F28" s="346"/>
      <c r="G28" s="346">
        <f>E28+1</f>
        <v>40</v>
      </c>
      <c r="H28" s="346"/>
      <c r="I28" s="346">
        <f>G28+1</f>
        <v>41</v>
      </c>
      <c r="J28" s="346"/>
      <c r="K28" s="346">
        <f>I28+1</f>
        <v>42</v>
      </c>
      <c r="L28" s="346"/>
      <c r="M28" s="346">
        <f>K28+1</f>
        <v>43</v>
      </c>
      <c r="N28" s="346"/>
      <c r="O28" s="346">
        <f>M28+1</f>
        <v>44</v>
      </c>
      <c r="P28" s="346"/>
      <c r="Q28" s="346">
        <f>O28+1</f>
        <v>45</v>
      </c>
      <c r="R28" s="346"/>
      <c r="S28" s="346">
        <f>Q28+1</f>
        <v>46</v>
      </c>
      <c r="T28" s="346"/>
      <c r="U28" s="346">
        <f>S28+1</f>
        <v>47</v>
      </c>
      <c r="V28" s="346"/>
      <c r="W28" s="346">
        <f>U28+1</f>
        <v>48</v>
      </c>
      <c r="X28" s="346"/>
      <c r="Y28" s="346">
        <f>W28+1</f>
        <v>49</v>
      </c>
      <c r="Z28" s="346"/>
      <c r="AA28" s="346">
        <f>Y28+1</f>
        <v>50</v>
      </c>
      <c r="AB28" s="346"/>
      <c r="AC28" s="346">
        <f>AA28+1</f>
        <v>51</v>
      </c>
      <c r="AD28" s="346"/>
      <c r="AE28" s="346">
        <f>AC28+1</f>
        <v>52</v>
      </c>
      <c r="AF28" s="346"/>
      <c r="AG28" s="346">
        <f>AE28+1</f>
        <v>53</v>
      </c>
      <c r="AH28" s="346"/>
      <c r="AI28" s="346">
        <f>AG28+1</f>
        <v>54</v>
      </c>
      <c r="AJ28" s="346"/>
      <c r="AK28" s="346">
        <f>AI28+1</f>
        <v>55</v>
      </c>
      <c r="AL28" s="346"/>
      <c r="AM28" s="346">
        <f>AK28+1</f>
        <v>56</v>
      </c>
      <c r="AN28" s="346"/>
      <c r="AO28" s="346">
        <f>AM28+1</f>
        <v>57</v>
      </c>
      <c r="AP28" s="346"/>
      <c r="AQ28" s="346">
        <f>AO28+1</f>
        <v>58</v>
      </c>
      <c r="AR28" s="346"/>
      <c r="AS28" s="346">
        <f>AQ28+1</f>
        <v>59</v>
      </c>
      <c r="AT28" s="329"/>
    </row>
    <row r="29" spans="2:53" s="359" customFormat="1" ht="15" customHeight="1">
      <c r="B29" s="349"/>
      <c r="C29" s="350" t="s">
        <v>467</v>
      </c>
      <c r="D29" s="351"/>
      <c r="E29" s="350" t="s">
        <v>468</v>
      </c>
      <c r="F29" s="351"/>
      <c r="G29" s="357" t="s">
        <v>674</v>
      </c>
      <c r="H29" s="351"/>
      <c r="I29" s="357" t="s">
        <v>258</v>
      </c>
      <c r="J29" s="351"/>
      <c r="K29" s="351" t="s">
        <v>259</v>
      </c>
      <c r="L29" s="351"/>
      <c r="M29" s="351" t="s">
        <v>260</v>
      </c>
      <c r="N29" s="351"/>
      <c r="O29" s="358" t="s">
        <v>469</v>
      </c>
      <c r="P29" s="351"/>
      <c r="Q29" s="351" t="s">
        <v>470</v>
      </c>
      <c r="R29" s="351"/>
      <c r="S29" s="351" t="s">
        <v>471</v>
      </c>
      <c r="T29" s="351"/>
      <c r="U29" s="358" t="s">
        <v>472</v>
      </c>
      <c r="V29" s="351"/>
      <c r="W29" s="351" t="s">
        <v>473</v>
      </c>
      <c r="X29" s="351"/>
      <c r="Y29" s="358" t="s">
        <v>474</v>
      </c>
      <c r="Z29" s="351"/>
      <c r="AA29" s="357" t="s">
        <v>475</v>
      </c>
      <c r="AB29" s="351"/>
      <c r="AC29" s="357" t="s">
        <v>476</v>
      </c>
      <c r="AD29" s="351"/>
      <c r="AE29" s="332" t="s">
        <v>477</v>
      </c>
      <c r="AF29" s="351"/>
      <c r="AG29" s="357" t="s">
        <v>492</v>
      </c>
      <c r="AH29" s="351"/>
      <c r="AI29" s="332" t="s">
        <v>261</v>
      </c>
      <c r="AJ29" s="351"/>
      <c r="AK29" s="357" t="s">
        <v>478</v>
      </c>
      <c r="AM29" s="332" t="s">
        <v>479</v>
      </c>
      <c r="AO29" s="359" t="s">
        <v>480</v>
      </c>
      <c r="AQ29" s="359" t="s">
        <v>481</v>
      </c>
      <c r="AS29" s="359" t="s">
        <v>482</v>
      </c>
      <c r="AT29" s="360"/>
    </row>
    <row r="30" spans="2:53" ht="15" customHeight="1">
      <c r="B30" s="349"/>
      <c r="T30" s="317"/>
      <c r="V30" s="317"/>
      <c r="X30" s="317"/>
      <c r="Z30" s="317"/>
      <c r="AB30" s="317"/>
      <c r="AD30" s="317"/>
      <c r="AF30" s="317"/>
      <c r="AH30" s="317"/>
      <c r="AJ30" s="317"/>
      <c r="AL30" s="317"/>
      <c r="AN30" s="317"/>
      <c r="AP30" s="317"/>
      <c r="AR30" s="317"/>
      <c r="AT30" s="329"/>
    </row>
    <row r="31" spans="2:53" ht="15" customHeight="1">
      <c r="B31" s="349"/>
      <c r="AT31" s="329"/>
    </row>
    <row r="32" spans="2:53" ht="20.25" customHeight="1">
      <c r="B32" s="361"/>
      <c r="C32" s="339">
        <v>3</v>
      </c>
      <c r="D32" s="340">
        <f>VLOOKUP(C29,'Location Summary'!$G$2:$H$604,2,FALSE)</f>
        <v>345</v>
      </c>
      <c r="E32" s="339">
        <v>3</v>
      </c>
      <c r="F32" s="340">
        <f>VLOOKUP(E29,'Location Summary'!$G$2:$H$604,2,FALSE)</f>
        <v>495</v>
      </c>
      <c r="G32" s="339">
        <v>3</v>
      </c>
      <c r="H32" s="340">
        <f>VLOOKUP(G29,'Location Summary'!$G$2:$H$604,2,FALSE)</f>
        <v>419.48</v>
      </c>
      <c r="I32" s="339">
        <v>3</v>
      </c>
      <c r="J32" s="340">
        <f>VLOOKUP(I29,'Location Summary'!$G$2:$H$604,2,FALSE)</f>
        <v>350.52</v>
      </c>
      <c r="K32" s="339">
        <v>3</v>
      </c>
      <c r="L32" s="340">
        <f>VLOOKUP(K29,'Location Summary'!$G$2:$H$604,2,FALSE)</f>
        <v>445</v>
      </c>
      <c r="M32" s="339">
        <v>3</v>
      </c>
      <c r="N32" s="340">
        <f>VLOOKUP(M29,'Location Summary'!$G$2:$H$604,2,FALSE)</f>
        <v>390</v>
      </c>
      <c r="O32" s="339">
        <v>3</v>
      </c>
      <c r="P32" s="340">
        <f>VLOOKUP(O29,'Location Summary'!$G$2:$H$604,2,FALSE)</f>
        <v>350</v>
      </c>
      <c r="Q32" s="339">
        <v>3</v>
      </c>
      <c r="R32" s="340">
        <f>VLOOKUP(Q29,'Location Summary'!$G$2:$H$604,2,FALSE)</f>
        <v>490</v>
      </c>
      <c r="S32" s="339">
        <v>3</v>
      </c>
      <c r="T32" s="340">
        <f>VLOOKUP(S29,'Location Summary'!$G$2:$H$604,2,FALSE)</f>
        <v>350</v>
      </c>
      <c r="U32" s="339">
        <v>3</v>
      </c>
      <c r="V32" s="340">
        <f>VLOOKUP(U29,'Location Summary'!$G$2:$H$604,2,FALSE)</f>
        <v>347</v>
      </c>
      <c r="W32" s="339">
        <v>3</v>
      </c>
      <c r="X32" s="340">
        <f>VLOOKUP(W29,'Location Summary'!$G$2:$H$604,2,FALSE)</f>
        <v>373</v>
      </c>
      <c r="Y32" s="339">
        <v>3</v>
      </c>
      <c r="Z32" s="340">
        <f>VLOOKUP(Y29,'Location Summary'!$G$2:$H$604,2,FALSE)</f>
        <v>380</v>
      </c>
      <c r="AA32" s="339">
        <v>3</v>
      </c>
      <c r="AB32" s="340">
        <f>VLOOKUP(AA29,'Location Summary'!$G$2:$H$604,2,FALSE)</f>
        <v>335</v>
      </c>
      <c r="AC32" s="339">
        <v>3</v>
      </c>
      <c r="AD32" s="340">
        <f>VLOOKUP(AC29,'Location Summary'!$G$2:$H$604,2,FALSE)</f>
        <v>315</v>
      </c>
      <c r="AE32" s="339">
        <v>3</v>
      </c>
      <c r="AF32" s="340">
        <f>VLOOKUP(AE29,'Location Summary'!$G$2:$H$604,2,FALSE)</f>
        <v>410</v>
      </c>
      <c r="AG32" s="339">
        <v>3</v>
      </c>
      <c r="AH32" s="340">
        <f>VLOOKUP(AG29,'Location Summary'!$G$2:$H$604,2,FALSE)</f>
        <v>365.71600000000001</v>
      </c>
      <c r="AI32" s="339">
        <v>3</v>
      </c>
      <c r="AJ32" s="340">
        <f>VLOOKUP(AI29,'Location Summary'!$G$2:$H$604,2,FALSE)</f>
        <v>319.28399999999999</v>
      </c>
      <c r="AK32" s="339">
        <v>3</v>
      </c>
      <c r="AL32" s="340">
        <f>VLOOKUP(AK29,'Location Summary'!$G$2:$H$604,2,FALSE)</f>
        <v>465</v>
      </c>
      <c r="AM32" s="339">
        <v>3</v>
      </c>
      <c r="AN32" s="340">
        <f>VLOOKUP(AM29,'Location Summary'!$G$2:$H$604,2,FALSE)</f>
        <v>375</v>
      </c>
      <c r="AO32" s="339">
        <v>3</v>
      </c>
      <c r="AP32" s="340">
        <f>VLOOKUP(AO29,'Location Summary'!$G$2:$H$604,2,FALSE)</f>
        <v>355</v>
      </c>
      <c r="AQ32" s="339">
        <v>3</v>
      </c>
      <c r="AR32" s="340">
        <f>VLOOKUP(AQ29,'Location Summary'!$G$2:$H$604,2,FALSE)</f>
        <v>420</v>
      </c>
      <c r="AS32" s="339">
        <v>3</v>
      </c>
      <c r="AT32" s="341">
        <f>VLOOKUP(AS29,'Location Summary'!$G$2:$H$604,2,FALSE)</f>
        <v>315</v>
      </c>
    </row>
    <row r="33" spans="2:48" ht="15" customHeight="1">
      <c r="B33" s="362"/>
      <c r="C33" s="344">
        <v>2</v>
      </c>
      <c r="E33" s="344">
        <v>2</v>
      </c>
      <c r="G33" s="344">
        <v>2</v>
      </c>
      <c r="I33" s="344">
        <v>2</v>
      </c>
      <c r="K33" s="344">
        <v>2</v>
      </c>
      <c r="M33" s="344">
        <v>2</v>
      </c>
      <c r="O33" s="344">
        <v>2</v>
      </c>
      <c r="Q33" s="344">
        <v>2</v>
      </c>
      <c r="S33" s="344">
        <v>2</v>
      </c>
      <c r="U33" s="344">
        <v>2</v>
      </c>
      <c r="W33" s="344">
        <v>2</v>
      </c>
      <c r="Y33" s="344">
        <v>2</v>
      </c>
      <c r="AA33" s="344">
        <v>2</v>
      </c>
      <c r="AC33" s="344">
        <v>2</v>
      </c>
      <c r="AE33" s="344">
        <v>2</v>
      </c>
      <c r="AG33" s="344">
        <v>2</v>
      </c>
      <c r="AI33" s="344">
        <v>2</v>
      </c>
      <c r="AK33" s="344">
        <v>2</v>
      </c>
      <c r="AM33" s="344">
        <v>2</v>
      </c>
      <c r="AO33" s="344">
        <v>2</v>
      </c>
      <c r="AQ33" s="344">
        <v>2</v>
      </c>
      <c r="AS33" s="344">
        <v>2</v>
      </c>
      <c r="AT33" s="329"/>
    </row>
    <row r="34" spans="2:48" ht="15" customHeight="1">
      <c r="B34" s="355"/>
      <c r="C34" s="317" t="str">
        <f>VLOOKUP(C29,'Location Summary'!$C$2:$J$604,2,FALSE)</f>
        <v>DA+6</v>
      </c>
      <c r="D34" s="331"/>
      <c r="E34" s="317" t="str">
        <f>VLOOKUP(E29,'Location Summary'!$C$2:$J$604,2,FALSE)</f>
        <v>DA+9</v>
      </c>
      <c r="F34" s="331"/>
      <c r="G34" s="317" t="str">
        <f>VLOOKUP(G29,'Location Summary'!$C$2:$J$604,2,FALSE)</f>
        <v>DB1+12</v>
      </c>
      <c r="H34" s="331"/>
      <c r="I34" s="317" t="str">
        <f>VLOOKUP(I29,'Location Summary'!$C$2:$J$604,2,FALSE)</f>
        <v>DB1+9</v>
      </c>
      <c r="J34" s="331"/>
      <c r="K34" s="317" t="str">
        <f>VLOOKUP(K29,'Location Summary'!$C$2:$J$604,2,FALSE)</f>
        <v>DA+9</v>
      </c>
      <c r="L34" s="331"/>
      <c r="M34" s="317" t="str">
        <f>VLOOKUP(M29,'Location Summary'!$C$2:$J$604,2,FALSE)</f>
        <v>DA+6</v>
      </c>
      <c r="N34" s="331"/>
      <c r="O34" s="317" t="str">
        <f>VLOOKUP(O29,'Location Summary'!$C$2:$J$604,2,FALSE)</f>
        <v>DA+3</v>
      </c>
      <c r="P34" s="331"/>
      <c r="Q34" s="317" t="str">
        <f>VLOOKUP(Q29,'Location Summary'!$C$2:$J$604,2,FALSE)</f>
        <v>DA+9</v>
      </c>
      <c r="R34" s="331"/>
      <c r="S34" s="317" t="str">
        <f>VLOOKUP(S29,'Location Summary'!$C$2:$J$604,2,FALSE)</f>
        <v>DA+9</v>
      </c>
      <c r="T34" s="345"/>
      <c r="U34" s="317" t="str">
        <f>VLOOKUP(U29,'Location Summary'!$C$2:$J$604,2,FALSE)</f>
        <v>DA-3</v>
      </c>
      <c r="V34" s="345"/>
      <c r="W34" s="317" t="str">
        <f>VLOOKUP(W29,'Location Summary'!$C$2:$J$604,2,FALSE)</f>
        <v>DA+1.5</v>
      </c>
      <c r="X34" s="345"/>
      <c r="Y34" s="317" t="str">
        <f>VLOOKUP(Y29,'Location Summary'!$C$2:$J$604,2,FALSE)</f>
        <v>DA+3</v>
      </c>
      <c r="Z34" s="345"/>
      <c r="AA34" s="317" t="str">
        <f>VLOOKUP(AA29,'Location Summary'!$C$2:$J$604,2,FALSE)</f>
        <v>DA+6</v>
      </c>
      <c r="AB34" s="345"/>
      <c r="AC34" s="317" t="str">
        <f>VLOOKUP(AC29,'Location Summary'!$C$2:$J$604,2,FALSE)</f>
        <v>DA+1.5</v>
      </c>
      <c r="AD34" s="345"/>
      <c r="AE34" s="317" t="str">
        <f>VLOOKUP(AE29,'Location Summary'!$C$2:$J$604,2,FALSE)</f>
        <v>DA-1.5</v>
      </c>
      <c r="AF34" s="345"/>
      <c r="AG34" s="317" t="str">
        <f>VLOOKUP(AG29,'Location Summary'!$C$2:$J$604,2,FALSE)</f>
        <v>DA+1.5</v>
      </c>
      <c r="AH34" s="345"/>
      <c r="AI34" s="317" t="str">
        <f>VLOOKUP(AI29,'Location Summary'!$C$2:$J$604,2,FALSE)</f>
        <v>DB2+0</v>
      </c>
      <c r="AJ34" s="345"/>
      <c r="AK34" s="317" t="str">
        <f>VLOOKUP(AK29,'Location Summary'!$C$2:$J$604,2,FALSE)</f>
        <v>DA-3</v>
      </c>
      <c r="AL34" s="345"/>
      <c r="AM34" s="317" t="str">
        <f>VLOOKUP(AM29,'Location Summary'!$C$2:$J$604,2,FALSE)</f>
        <v>DA+6</v>
      </c>
      <c r="AN34" s="345"/>
      <c r="AO34" s="317" t="str">
        <f>VLOOKUP(AO29,'Location Summary'!$C$2:$J$604,2,FALSE)</f>
        <v>DA+9</v>
      </c>
      <c r="AP34" s="345"/>
      <c r="AQ34" s="317" t="str">
        <f>VLOOKUP(AQ29,'Location Summary'!$C$2:$J$604,2,FALSE)</f>
        <v>DA+6</v>
      </c>
      <c r="AS34" s="317" t="str">
        <f>VLOOKUP(AS29,'Location Summary'!$C$2:$J$604,2,FALSE)</f>
        <v>DA+6</v>
      </c>
      <c r="AT34" s="329"/>
    </row>
    <row r="35" spans="2:48" ht="15" customHeight="1">
      <c r="B35" s="355"/>
      <c r="C35" s="317"/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  <c r="AE35" s="317"/>
      <c r="AF35" s="317"/>
      <c r="AG35" s="317"/>
      <c r="AH35" s="317"/>
      <c r="AI35" s="317"/>
      <c r="AJ35" s="317"/>
      <c r="AK35" s="317"/>
      <c r="AL35" s="317"/>
      <c r="AM35" s="317"/>
      <c r="AN35" s="317"/>
      <c r="AO35" s="317"/>
      <c r="AP35" s="317"/>
      <c r="AQ35" s="317"/>
      <c r="AR35" s="317"/>
      <c r="AS35" s="317"/>
      <c r="AT35" s="329"/>
      <c r="AV35" s="354"/>
    </row>
    <row r="36" spans="2:48" ht="15" customHeight="1">
      <c r="B36" s="348"/>
      <c r="C36" s="346">
        <f>AS28+1</f>
        <v>60</v>
      </c>
      <c r="D36" s="327"/>
      <c r="E36" s="346">
        <f>C36+1</f>
        <v>61</v>
      </c>
      <c r="F36" s="346"/>
      <c r="G36" s="346">
        <f>E36+1</f>
        <v>62</v>
      </c>
      <c r="H36" s="346"/>
      <c r="I36" s="346">
        <f>G36+1</f>
        <v>63</v>
      </c>
      <c r="J36" s="346"/>
      <c r="K36" s="346">
        <f>I36+1</f>
        <v>64</v>
      </c>
      <c r="L36" s="346"/>
      <c r="M36" s="346">
        <f>K36+1</f>
        <v>65</v>
      </c>
      <c r="N36" s="346"/>
      <c r="O36" s="346">
        <f>M36+1</f>
        <v>66</v>
      </c>
      <c r="P36" s="346"/>
      <c r="Q36" s="346">
        <f>O36+1</f>
        <v>67</v>
      </c>
      <c r="R36" s="346"/>
      <c r="S36" s="346">
        <f>Q36+1</f>
        <v>68</v>
      </c>
      <c r="U36" s="346">
        <f>S36+1</f>
        <v>69</v>
      </c>
      <c r="V36" s="346"/>
      <c r="W36" s="346">
        <f>U36+1</f>
        <v>70</v>
      </c>
      <c r="X36" s="346"/>
      <c r="Y36" s="346">
        <f>W36+1</f>
        <v>71</v>
      </c>
      <c r="Z36" s="346"/>
      <c r="AA36" s="346">
        <f>Y36+1</f>
        <v>72</v>
      </c>
      <c r="AB36" s="346"/>
      <c r="AC36" s="346">
        <f>AA36+1</f>
        <v>73</v>
      </c>
      <c r="AD36" s="346"/>
      <c r="AE36" s="346">
        <f>AC36+1</f>
        <v>74</v>
      </c>
      <c r="AF36" s="346"/>
      <c r="AG36" s="346">
        <f>AE36+1</f>
        <v>75</v>
      </c>
      <c r="AH36" s="346"/>
      <c r="AI36" s="346">
        <f>AG36+1</f>
        <v>76</v>
      </c>
      <c r="AJ36" s="346"/>
      <c r="AK36" s="346">
        <f>AI36+1</f>
        <v>77</v>
      </c>
      <c r="AL36" s="346"/>
      <c r="AM36" s="346">
        <f>AK36+1</f>
        <v>78</v>
      </c>
      <c r="AO36" s="346">
        <f>AM36+1</f>
        <v>79</v>
      </c>
      <c r="AP36" s="346"/>
      <c r="AQ36" s="346">
        <f>AO36+1</f>
        <v>80</v>
      </c>
      <c r="AR36" s="346"/>
      <c r="AS36" s="346">
        <f>AQ36+1</f>
        <v>81</v>
      </c>
      <c r="AT36" s="329"/>
    </row>
    <row r="37" spans="2:48" s="359" customFormat="1" ht="15" customHeight="1">
      <c r="B37" s="349"/>
      <c r="C37" s="359" t="s">
        <v>483</v>
      </c>
      <c r="E37" s="359" t="s">
        <v>493</v>
      </c>
      <c r="G37" s="359" t="s">
        <v>494</v>
      </c>
      <c r="I37" s="359" t="s">
        <v>495</v>
      </c>
      <c r="K37" s="359" t="s">
        <v>496</v>
      </c>
      <c r="M37" s="359" t="s">
        <v>497</v>
      </c>
      <c r="O37" s="359" t="s">
        <v>498</v>
      </c>
      <c r="Q37" s="359" t="s">
        <v>262</v>
      </c>
      <c r="S37" s="359" t="s">
        <v>392</v>
      </c>
      <c r="U37" s="359" t="s">
        <v>393</v>
      </c>
      <c r="W37" s="359" t="s">
        <v>394</v>
      </c>
      <c r="Y37" s="359" t="s">
        <v>395</v>
      </c>
      <c r="AA37" s="359" t="s">
        <v>396</v>
      </c>
      <c r="AC37" s="359" t="s">
        <v>397</v>
      </c>
      <c r="AE37" s="359" t="s">
        <v>398</v>
      </c>
      <c r="AG37" s="359" t="s">
        <v>399</v>
      </c>
      <c r="AI37" s="359" t="s">
        <v>400</v>
      </c>
      <c r="AK37" s="359" t="s">
        <v>401</v>
      </c>
      <c r="AM37" s="359" t="s">
        <v>402</v>
      </c>
      <c r="AO37" s="359" t="s">
        <v>484</v>
      </c>
      <c r="AQ37" s="359" t="s">
        <v>263</v>
      </c>
      <c r="AS37" s="359" t="s">
        <v>404</v>
      </c>
      <c r="AT37" s="360"/>
    </row>
    <row r="38" spans="2:48" ht="15" customHeight="1">
      <c r="B38" s="355"/>
      <c r="T38" s="317"/>
      <c r="V38" s="317"/>
      <c r="X38" s="317"/>
      <c r="Z38" s="317"/>
      <c r="AB38" s="317"/>
      <c r="AD38" s="317"/>
      <c r="AF38" s="317"/>
      <c r="AH38" s="317"/>
      <c r="AJ38" s="317"/>
      <c r="AL38" s="317"/>
      <c r="AN38" s="317"/>
      <c r="AP38" s="317"/>
      <c r="AR38" s="317"/>
      <c r="AT38" s="329"/>
    </row>
    <row r="39" spans="2:48" ht="15" customHeight="1">
      <c r="B39" s="361"/>
      <c r="AT39" s="329"/>
    </row>
    <row r="40" spans="2:48" ht="20.25" customHeight="1">
      <c r="B40" s="361"/>
      <c r="C40" s="339">
        <v>3</v>
      </c>
      <c r="D40" s="340">
        <f>VLOOKUP(C37,'Location Summary'!$G$2:$H$604,2,FALSE)</f>
        <v>450</v>
      </c>
      <c r="E40" s="339">
        <v>3</v>
      </c>
      <c r="F40" s="340">
        <f>VLOOKUP(E37,'Location Summary'!$G$2:$H$604,2,FALSE)</f>
        <v>435</v>
      </c>
      <c r="G40" s="339">
        <v>3</v>
      </c>
      <c r="H40" s="340">
        <f>VLOOKUP(G37,'Location Summary'!$G$2:$H$604,2,FALSE)</f>
        <v>385</v>
      </c>
      <c r="I40" s="339">
        <v>3</v>
      </c>
      <c r="J40" s="340">
        <f>VLOOKUP(I37,'Location Summary'!$G$2:$H$604,2,FALSE)</f>
        <v>390</v>
      </c>
      <c r="K40" s="339">
        <v>3</v>
      </c>
      <c r="L40" s="340">
        <f>VLOOKUP(K37,'Location Summary'!$G$2:$H$604,2,FALSE)</f>
        <v>405</v>
      </c>
      <c r="M40" s="339">
        <v>3</v>
      </c>
      <c r="N40" s="340">
        <f>VLOOKUP(M37,'Location Summary'!$G$2:$H$604,2,FALSE)</f>
        <v>390</v>
      </c>
      <c r="O40" s="339">
        <v>3</v>
      </c>
      <c r="P40" s="340">
        <f>VLOOKUP(O37,'Location Summary'!$G$2:$H$604,2,FALSE)</f>
        <v>429.77</v>
      </c>
      <c r="Q40" s="339">
        <v>3</v>
      </c>
      <c r="R40" s="340">
        <f>VLOOKUP(Q37,'Location Summary'!$G$2:$H$604,2,FALSE)</f>
        <v>350</v>
      </c>
      <c r="S40" s="339">
        <v>3</v>
      </c>
      <c r="T40" s="340">
        <f>VLOOKUP(S37,'Location Summary'!$G$2:$H$604,2,FALSE)</f>
        <v>330</v>
      </c>
      <c r="U40" s="339">
        <v>3</v>
      </c>
      <c r="V40" s="340">
        <f>VLOOKUP(U37,'Location Summary'!$G$2:$H$604,2,FALSE)</f>
        <v>390</v>
      </c>
      <c r="W40" s="339">
        <v>3</v>
      </c>
      <c r="X40" s="340">
        <f>VLOOKUP(W37,'Location Summary'!$G$2:$H$604,2,FALSE)</f>
        <v>400</v>
      </c>
      <c r="Y40" s="339">
        <v>3</v>
      </c>
      <c r="Z40" s="340">
        <f>VLOOKUP(Y37,'Location Summary'!$G$2:$H$604,2,FALSE)</f>
        <v>338</v>
      </c>
      <c r="AA40" s="339">
        <v>3</v>
      </c>
      <c r="AB40" s="340">
        <f>VLOOKUP(AA37,'Location Summary'!$G$2:$H$604,2,FALSE)</f>
        <v>357</v>
      </c>
      <c r="AC40" s="339">
        <v>3</v>
      </c>
      <c r="AD40" s="340">
        <f>VLOOKUP(AC37,'Location Summary'!$G$2:$H$604,2,FALSE)</f>
        <v>335</v>
      </c>
      <c r="AE40" s="339">
        <v>3</v>
      </c>
      <c r="AF40" s="340">
        <f>VLOOKUP(AE37,'Location Summary'!$G$2:$H$604,2,FALSE)</f>
        <v>415</v>
      </c>
      <c r="AG40" s="339">
        <v>3</v>
      </c>
      <c r="AH40" s="340">
        <f>VLOOKUP(AG37,'Location Summary'!$G$2:$H$604,2,FALSE)</f>
        <v>375</v>
      </c>
      <c r="AI40" s="339">
        <v>3</v>
      </c>
      <c r="AJ40" s="340">
        <f>VLOOKUP(AI37,'Location Summary'!$G$2:$H$604,2,FALSE)</f>
        <v>375</v>
      </c>
      <c r="AK40" s="339">
        <v>3</v>
      </c>
      <c r="AL40" s="340">
        <f>VLOOKUP(AK37,'Location Summary'!$G$2:$H$604,2,FALSE)</f>
        <v>375</v>
      </c>
      <c r="AM40" s="649">
        <v>3</v>
      </c>
      <c r="AN40" s="340">
        <f>VLOOKUP(AM37,'Location Summary'!$G$2:$H$604,2,FALSE)</f>
        <v>415</v>
      </c>
      <c r="AO40" s="339">
        <v>3</v>
      </c>
      <c r="AP40" s="340">
        <f>VLOOKUP(AO37,'Location Summary'!$G$2:$H$604,2,FALSE)</f>
        <v>466.63</v>
      </c>
      <c r="AQ40" s="339">
        <v>3</v>
      </c>
      <c r="AR40" s="340">
        <f>VLOOKUP(AQ37,'Location Summary'!$G$2:$H$604,2,FALSE)</f>
        <v>418.37200000000001</v>
      </c>
      <c r="AS40" s="339">
        <v>3</v>
      </c>
      <c r="AT40" s="341">
        <f>VLOOKUP(AS37,'Location Summary'!$G$2:$H$604,2,FALSE)</f>
        <v>410</v>
      </c>
    </row>
    <row r="41" spans="2:48" ht="15" customHeight="1">
      <c r="B41" s="361"/>
      <c r="C41" s="344">
        <v>2</v>
      </c>
      <c r="E41" s="344">
        <v>2</v>
      </c>
      <c r="G41" s="344">
        <v>2</v>
      </c>
      <c r="I41" s="344">
        <v>2</v>
      </c>
      <c r="K41" s="344">
        <v>2</v>
      </c>
      <c r="M41" s="344">
        <v>2</v>
      </c>
      <c r="O41" s="344">
        <v>2</v>
      </c>
      <c r="Q41" s="344">
        <v>2</v>
      </c>
      <c r="S41" s="344">
        <v>2</v>
      </c>
      <c r="U41" s="344">
        <v>2</v>
      </c>
      <c r="W41" s="344">
        <v>2</v>
      </c>
      <c r="Y41" s="344">
        <v>2</v>
      </c>
      <c r="AA41" s="363">
        <v>2</v>
      </c>
      <c r="AC41" s="344">
        <v>2</v>
      </c>
      <c r="AE41" s="344">
        <v>2</v>
      </c>
      <c r="AG41" s="344">
        <v>2</v>
      </c>
      <c r="AI41" s="344">
        <v>2</v>
      </c>
      <c r="AK41" s="344">
        <v>2</v>
      </c>
      <c r="AM41" s="364">
        <v>2</v>
      </c>
      <c r="AO41" s="344">
        <v>2</v>
      </c>
      <c r="AQ41" s="344">
        <v>2</v>
      </c>
      <c r="AS41" s="344">
        <v>2</v>
      </c>
      <c r="AT41" s="329"/>
    </row>
    <row r="42" spans="2:48" ht="15" customHeight="1">
      <c r="B42" s="355"/>
      <c r="C42" s="317" t="str">
        <f>VLOOKUP(C37,'Location Summary'!$C$2:$J$604,2,FALSE)</f>
        <v>DA-1.5</v>
      </c>
      <c r="D42" s="317"/>
      <c r="E42" s="317" t="str">
        <f>VLOOKUP(E37,'Location Summary'!$C$2:$J$604,2,FALSE)</f>
        <v>DB1+6</v>
      </c>
      <c r="F42" s="317"/>
      <c r="G42" s="317" t="str">
        <f>VLOOKUP(G37,'Location Summary'!$C$2:$J$604,2,FALSE)</f>
        <v>DA+1.5</v>
      </c>
      <c r="H42" s="317"/>
      <c r="I42" s="317" t="str">
        <f>VLOOKUP(I37,'Location Summary'!$C$2:$J$604,2,FALSE)</f>
        <v>DA+3</v>
      </c>
      <c r="J42" s="317"/>
      <c r="K42" s="317" t="str">
        <f>VLOOKUP(K37,'Location Summary'!$C$2:$J$604,2,FALSE)</f>
        <v>DA+3</v>
      </c>
      <c r="L42" s="317"/>
      <c r="M42" s="317" t="str">
        <f>VLOOKUP(M37,'Location Summary'!$C$2:$J$604,2,FALSE)</f>
        <v>DA+3</v>
      </c>
      <c r="N42" s="317"/>
      <c r="O42" s="317" t="str">
        <f>VLOOKUP(O37,'Location Summary'!$C$2:$J$604,2,FALSE)</f>
        <v>DA+3</v>
      </c>
      <c r="P42" s="317"/>
      <c r="Q42" s="317" t="str">
        <f>VLOOKUP(Q37,'Location Summary'!$C$2:$J$604,2,FALSE)</f>
        <v>DB1+0</v>
      </c>
      <c r="R42" s="317"/>
      <c r="S42" s="317" t="str">
        <f>VLOOKUP(S37,'Location Summary'!$C$2:$J$604,2,FALSE)</f>
        <v>DA-3</v>
      </c>
      <c r="T42" s="317"/>
      <c r="U42" s="317" t="str">
        <f>VLOOKUP(U37,'Location Summary'!$C$2:$J$604,2,FALSE)</f>
        <v>DA+6</v>
      </c>
      <c r="V42" s="317"/>
      <c r="W42" s="317" t="str">
        <f>VLOOKUP(W37,'Location Summary'!$C$2:$J$604,2,FALSE)</f>
        <v>DA+9</v>
      </c>
      <c r="X42" s="317"/>
      <c r="Y42" s="317" t="str">
        <f>VLOOKUP(Y37,'Location Summary'!$C$2:$J$604,2,FALSE)</f>
        <v>DA+6</v>
      </c>
      <c r="Z42" s="317"/>
      <c r="AA42" s="317" t="str">
        <f>VLOOKUP(AA37,'Location Summary'!$C$2:$J$604,2,FALSE)</f>
        <v>DA+9</v>
      </c>
      <c r="AB42" s="317"/>
      <c r="AC42" s="317" t="str">
        <f>VLOOKUP(AC37,'Location Summary'!$C$2:$J$604,2,FALSE)</f>
        <v>DA+3</v>
      </c>
      <c r="AD42" s="317"/>
      <c r="AE42" s="317" t="str">
        <f>VLOOKUP(AE37,'Location Summary'!$C$2:$J$604,2,FALSE)</f>
        <v>DA+3</v>
      </c>
      <c r="AF42" s="317"/>
      <c r="AG42" s="317" t="str">
        <f>VLOOKUP(AG37,'Location Summary'!$C$2:$J$604,2,FALSE)</f>
        <v>DA+9</v>
      </c>
      <c r="AH42" s="317"/>
      <c r="AI42" s="317" t="str">
        <f>VLOOKUP(AI37,'Location Summary'!$C$2:$J$604,2,FALSE)</f>
        <v>DA+3</v>
      </c>
      <c r="AJ42" s="317"/>
      <c r="AK42" s="317" t="str">
        <f>VLOOKUP(AK37,'Location Summary'!$C$2:$J$604,2,FALSE)</f>
        <v>DA+0</v>
      </c>
      <c r="AL42" s="345"/>
      <c r="AM42" s="317" t="str">
        <f>VLOOKUP(AM37,'Location Summary'!$C$2:$J$604,2,FALSE)</f>
        <v>DA+9</v>
      </c>
      <c r="AN42" s="345"/>
      <c r="AO42" s="317" t="str">
        <f>VLOOKUP(AO37,'Location Summary'!$C$2:$J$604,2,FALSE)</f>
        <v>DB1+12</v>
      </c>
      <c r="AP42" s="345"/>
      <c r="AQ42" s="317" t="str">
        <f>VLOOKUP(AQ37,'Location Summary'!$C$2:$J$604,2,FALSE)</f>
        <v>DB1+12</v>
      </c>
      <c r="AS42" s="317" t="str">
        <f>VLOOKUP(AS37,'Location Summary'!$C$2:$J$604,2,FALSE)</f>
        <v>DA+3</v>
      </c>
      <c r="AT42" s="329"/>
    </row>
    <row r="43" spans="2:48" ht="15" customHeight="1">
      <c r="B43" s="355"/>
      <c r="C43" s="317"/>
      <c r="D43" s="317"/>
      <c r="E43" s="317"/>
      <c r="F43" s="317"/>
      <c r="G43" s="317"/>
      <c r="H43" s="345"/>
      <c r="I43" s="345"/>
      <c r="J43" s="345"/>
      <c r="K43" s="345"/>
      <c r="L43" s="345"/>
      <c r="M43" s="345"/>
      <c r="N43" s="345"/>
      <c r="O43" s="345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  <c r="AB43" s="317"/>
      <c r="AC43" s="317"/>
      <c r="AD43" s="317"/>
      <c r="AE43" s="317"/>
      <c r="AF43" s="317"/>
      <c r="AG43" s="317"/>
      <c r="AH43" s="346"/>
      <c r="AI43" s="317"/>
      <c r="AJ43" s="317"/>
      <c r="AK43" s="317"/>
      <c r="AL43" s="317"/>
      <c r="AM43" s="317"/>
      <c r="AN43" s="346"/>
      <c r="AO43" s="317"/>
      <c r="AP43" s="317"/>
      <c r="AQ43" s="317"/>
      <c r="AR43" s="317"/>
      <c r="AS43" s="317"/>
      <c r="AT43" s="329"/>
      <c r="AV43" s="354"/>
    </row>
    <row r="44" spans="2:48" ht="15" customHeight="1">
      <c r="B44" s="348"/>
      <c r="C44" s="346">
        <f>AS36+1</f>
        <v>82</v>
      </c>
      <c r="D44" s="327"/>
      <c r="E44" s="346">
        <f>C44+1</f>
        <v>83</v>
      </c>
      <c r="F44" s="346"/>
      <c r="G44" s="346">
        <f>E44+1</f>
        <v>84</v>
      </c>
      <c r="H44" s="346"/>
      <c r="I44" s="346">
        <f>G44+1</f>
        <v>85</v>
      </c>
      <c r="J44" s="346"/>
      <c r="K44" s="346">
        <f>I44+1</f>
        <v>86</v>
      </c>
      <c r="L44" s="346"/>
      <c r="M44" s="346">
        <f>K44+1</f>
        <v>87</v>
      </c>
      <c r="N44" s="346"/>
      <c r="O44" s="346">
        <f>M44+1</f>
        <v>88</v>
      </c>
      <c r="P44" s="346"/>
      <c r="Q44" s="346">
        <f>O44+1</f>
        <v>89</v>
      </c>
      <c r="R44" s="346"/>
      <c r="S44" s="346">
        <f>Q44+1</f>
        <v>90</v>
      </c>
      <c r="T44" s="346"/>
      <c r="U44" s="346">
        <f>S44+1</f>
        <v>91</v>
      </c>
      <c r="V44" s="346"/>
      <c r="W44" s="346">
        <f>U44+1</f>
        <v>92</v>
      </c>
      <c r="X44" s="346"/>
      <c r="Y44" s="346">
        <f>W44+1</f>
        <v>93</v>
      </c>
      <c r="Z44" s="346"/>
      <c r="AA44" s="346">
        <f>Y44+1</f>
        <v>94</v>
      </c>
      <c r="AB44" s="346"/>
      <c r="AC44" s="346">
        <f>AA44+1</f>
        <v>95</v>
      </c>
      <c r="AD44" s="346"/>
      <c r="AE44" s="346">
        <f>AC44+1</f>
        <v>96</v>
      </c>
      <c r="AF44" s="346"/>
      <c r="AG44" s="346">
        <f>AE44+1</f>
        <v>97</v>
      </c>
      <c r="AI44" s="346">
        <f>AG44+1</f>
        <v>98</v>
      </c>
      <c r="AJ44" s="359"/>
      <c r="AK44" s="346">
        <f>AI44+1</f>
        <v>99</v>
      </c>
      <c r="AL44" s="346"/>
      <c r="AM44" s="346">
        <f>AK44+1</f>
        <v>100</v>
      </c>
      <c r="AO44" s="346">
        <f>AM44+1</f>
        <v>101</v>
      </c>
      <c r="AP44" s="346"/>
      <c r="AQ44" s="346">
        <f>AO44+1</f>
        <v>102</v>
      </c>
      <c r="AR44" s="346"/>
      <c r="AS44" s="346">
        <f>AQ44+1</f>
        <v>103</v>
      </c>
      <c r="AT44" s="329"/>
    </row>
    <row r="45" spans="2:48" s="351" customFormat="1" ht="15" customHeight="1">
      <c r="B45" s="365"/>
      <c r="C45" s="359" t="s">
        <v>406</v>
      </c>
      <c r="D45" s="359"/>
      <c r="E45" s="359" t="s">
        <v>407</v>
      </c>
      <c r="F45" s="359"/>
      <c r="G45" s="359" t="s">
        <v>370</v>
      </c>
      <c r="H45" s="359"/>
      <c r="I45" s="359" t="s">
        <v>371</v>
      </c>
      <c r="J45" s="359"/>
      <c r="K45" s="359" t="s">
        <v>372</v>
      </c>
      <c r="L45" s="359"/>
      <c r="M45" s="359" t="s">
        <v>408</v>
      </c>
      <c r="N45" s="359"/>
      <c r="O45" s="359" t="s">
        <v>409</v>
      </c>
      <c r="P45" s="359"/>
      <c r="Q45" s="359" t="s">
        <v>410</v>
      </c>
      <c r="R45" s="359"/>
      <c r="S45" s="359" t="s">
        <v>411</v>
      </c>
      <c r="T45" s="359"/>
      <c r="U45" s="359" t="s">
        <v>412</v>
      </c>
      <c r="V45" s="359"/>
      <c r="W45" s="359" t="s">
        <v>264</v>
      </c>
      <c r="X45" s="359"/>
      <c r="Y45" s="359" t="s">
        <v>413</v>
      </c>
      <c r="Z45" s="359"/>
      <c r="AA45" s="359" t="s">
        <v>414</v>
      </c>
      <c r="AB45" s="359"/>
      <c r="AC45" s="359" t="s">
        <v>265</v>
      </c>
      <c r="AD45" s="359"/>
      <c r="AE45" s="359" t="s">
        <v>266</v>
      </c>
      <c r="AF45" s="359"/>
      <c r="AG45" s="359" t="s">
        <v>267</v>
      </c>
      <c r="AH45" s="359"/>
      <c r="AI45" s="359" t="s">
        <v>485</v>
      </c>
      <c r="AK45" s="359" t="s">
        <v>11</v>
      </c>
      <c r="AL45" s="359"/>
      <c r="AM45" s="359" t="s">
        <v>167</v>
      </c>
      <c r="AN45" s="359"/>
      <c r="AO45" s="359" t="s">
        <v>308</v>
      </c>
      <c r="AP45" s="359"/>
      <c r="AQ45" s="359" t="s">
        <v>415</v>
      </c>
      <c r="AR45" s="359"/>
      <c r="AS45" s="359" t="s">
        <v>416</v>
      </c>
      <c r="AT45" s="360"/>
    </row>
    <row r="46" spans="2:48" ht="15" customHeight="1">
      <c r="B46" s="355"/>
      <c r="T46" s="317"/>
      <c r="V46" s="317"/>
      <c r="X46" s="317"/>
      <c r="Z46" s="317"/>
      <c r="AB46" s="317"/>
      <c r="AD46" s="317"/>
      <c r="AF46" s="366" t="s">
        <v>234</v>
      </c>
      <c r="AG46" s="317"/>
      <c r="AJ46" s="317"/>
      <c r="AL46" s="366" t="s">
        <v>232</v>
      </c>
      <c r="AN46" s="317"/>
      <c r="AP46" s="317"/>
      <c r="AR46" s="317"/>
      <c r="AT46" s="329"/>
    </row>
    <row r="47" spans="2:48" ht="15" customHeight="1">
      <c r="B47" s="361"/>
      <c r="AT47" s="329"/>
    </row>
    <row r="48" spans="2:48" s="370" customFormat="1" ht="20.25" customHeight="1">
      <c r="B48" s="367"/>
      <c r="C48" s="339">
        <v>3</v>
      </c>
      <c r="D48" s="368">
        <f>VLOOKUP(C45,'Location Summary'!$G$2:$H$604,2,FALSE)</f>
        <v>395</v>
      </c>
      <c r="E48" s="339">
        <v>3</v>
      </c>
      <c r="F48" s="368">
        <f>VLOOKUP(E45,'Location Summary'!$G$2:$H$604,2,FALSE)</f>
        <v>395</v>
      </c>
      <c r="G48" s="339">
        <v>3</v>
      </c>
      <c r="H48" s="368">
        <f>VLOOKUP(G45,'Location Summary'!$G$2:$H$604,2,FALSE)</f>
        <v>425</v>
      </c>
      <c r="I48" s="339">
        <v>3</v>
      </c>
      <c r="J48" s="368">
        <f>VLOOKUP(I45,'Location Summary'!$G$2:$H$604,2,FALSE)</f>
        <v>415</v>
      </c>
      <c r="K48" s="662">
        <v>3</v>
      </c>
      <c r="L48" s="368">
        <f>VLOOKUP(K45,'Location Summary'!$G$2:$H$604,2,FALSE)</f>
        <v>405</v>
      </c>
      <c r="M48" s="662">
        <v>3</v>
      </c>
      <c r="N48" s="368">
        <f>VLOOKUP(M45,'Location Summary'!$G$2:$H$604,2,FALSE)</f>
        <v>435</v>
      </c>
      <c r="O48" s="662">
        <v>3</v>
      </c>
      <c r="P48" s="368">
        <f>VLOOKUP(O45,'Location Summary'!$G$2:$H$604,2,FALSE)</f>
        <v>405</v>
      </c>
      <c r="Q48" s="662">
        <v>3</v>
      </c>
      <c r="R48" s="368">
        <f>VLOOKUP(Q45,'Location Summary'!$G$2:$H$604,2,FALSE)</f>
        <v>435</v>
      </c>
      <c r="S48" s="339">
        <v>3</v>
      </c>
      <c r="T48" s="368">
        <f>VLOOKUP(S45,'Location Summary'!$G$2:$H$604,2,FALSE)</f>
        <v>395</v>
      </c>
      <c r="U48" s="339">
        <v>3</v>
      </c>
      <c r="V48" s="368">
        <f>VLOOKUP(U45,'Location Summary'!$G$2:$H$604,2,FALSE)</f>
        <v>431.548</v>
      </c>
      <c r="W48" s="339">
        <v>3</v>
      </c>
      <c r="X48" s="368">
        <f>VLOOKUP(W45,'Location Summary'!$G$2:$H$604,2,FALSE)</f>
        <v>363.452</v>
      </c>
      <c r="Y48" s="339">
        <v>3</v>
      </c>
      <c r="Z48" s="368">
        <f>VLOOKUP(Y45,'Location Summary'!$G$2:$H$604,2,FALSE)</f>
        <v>295</v>
      </c>
      <c r="AA48" s="339">
        <v>3</v>
      </c>
      <c r="AB48" s="368">
        <f>VLOOKUP(AA45,'Location Summary'!$G$2:$H$604,2,FALSE)</f>
        <v>345.73099999999999</v>
      </c>
      <c r="AC48" s="661">
        <v>3</v>
      </c>
      <c r="AD48" s="368">
        <f>VLOOKUP(AC45,'Location Summary'!$G$2:$H$604,2,FALSE)</f>
        <v>242.89</v>
      </c>
      <c r="AE48" s="661">
        <v>3</v>
      </c>
      <c r="AF48" s="368">
        <f>VLOOKUP(AE45,'Location Summary'!$G$2:$H$604,2,FALSE)</f>
        <v>329.73</v>
      </c>
      <c r="AG48" s="661">
        <v>3</v>
      </c>
      <c r="AH48" s="368">
        <f>VLOOKUP(AG45,'Location Summary'!$G$2:$H$604,2,FALSE)</f>
        <v>416.88</v>
      </c>
      <c r="AI48" s="661">
        <v>3</v>
      </c>
      <c r="AJ48" s="368">
        <f>VLOOKUP(AI45,'Location Summary'!$G$2:$H$604,2,FALSE)</f>
        <v>480.27</v>
      </c>
      <c r="AK48" s="661">
        <v>3</v>
      </c>
      <c r="AL48" s="368">
        <f>VLOOKUP(AK45,'Location Summary'!$G$2:$H$604,2,FALSE)</f>
        <v>223.82</v>
      </c>
      <c r="AM48" s="661">
        <v>3</v>
      </c>
      <c r="AN48" s="368">
        <f>VLOOKUP(AM45,'Location Summary'!$G$2:$H$604,2,FALSE)</f>
        <v>405.91500000000002</v>
      </c>
      <c r="AO48" s="339">
        <v>3</v>
      </c>
      <c r="AP48" s="368">
        <f>VLOOKUP(AO45,'Location Summary'!$G$2:$H$604,2,FALSE)</f>
        <v>405</v>
      </c>
      <c r="AQ48" s="339">
        <v>3</v>
      </c>
      <c r="AR48" s="368">
        <f>VLOOKUP(AQ45,'Location Summary'!$G$2:$H$604,2,FALSE)</f>
        <v>420</v>
      </c>
      <c r="AS48" s="339">
        <v>3</v>
      </c>
      <c r="AT48" s="369">
        <f>VLOOKUP(AS45,'Location Summary'!$G$2:$H$604,2,FALSE)</f>
        <v>415</v>
      </c>
    </row>
    <row r="49" spans="2:48" ht="15" customHeight="1">
      <c r="B49" s="361"/>
      <c r="C49" s="344">
        <v>2</v>
      </c>
      <c r="E49" s="363">
        <v>2</v>
      </c>
      <c r="F49" s="370"/>
      <c r="G49" s="363">
        <v>2</v>
      </c>
      <c r="H49" s="370"/>
      <c r="I49" s="363">
        <v>2</v>
      </c>
      <c r="K49" s="344">
        <v>2</v>
      </c>
      <c r="M49" s="344">
        <v>2</v>
      </c>
      <c r="O49" s="344">
        <v>2</v>
      </c>
      <c r="Q49" s="344">
        <v>2</v>
      </c>
      <c r="S49" s="344">
        <v>2</v>
      </c>
      <c r="U49" s="363">
        <v>2</v>
      </c>
      <c r="W49" s="344">
        <v>2</v>
      </c>
      <c r="Y49" s="363">
        <v>2</v>
      </c>
      <c r="AA49" s="363">
        <v>2</v>
      </c>
      <c r="AC49" s="344">
        <v>2</v>
      </c>
      <c r="AE49" s="344">
        <v>2</v>
      </c>
      <c r="AG49" s="344">
        <v>2</v>
      </c>
      <c r="AI49" s="344">
        <v>2</v>
      </c>
      <c r="AK49" s="344">
        <v>2</v>
      </c>
      <c r="AM49" s="344">
        <v>2</v>
      </c>
      <c r="AO49" s="344">
        <v>2</v>
      </c>
      <c r="AQ49" s="363">
        <v>2</v>
      </c>
      <c r="AS49" s="363">
        <v>2</v>
      </c>
      <c r="AT49" s="329"/>
    </row>
    <row r="50" spans="2:48" s="373" customFormat="1" ht="21" customHeight="1">
      <c r="B50" s="371"/>
      <c r="C50" s="317" t="str">
        <f>VLOOKUP(C45,'Location Summary'!$C$2:$J$604,2,FALSE)</f>
        <v>DA+3</v>
      </c>
      <c r="D50" s="331"/>
      <c r="E50" s="317" t="str">
        <f>VLOOKUP(E45,'Location Summary'!$C$2:$J$604,2,FALSE)</f>
        <v>DA+0</v>
      </c>
      <c r="F50" s="331"/>
      <c r="G50" s="317" t="str">
        <f>VLOOKUP(G45,'Location Summary'!$C$2:$J$604,2,FALSE)</f>
        <v>DA+6</v>
      </c>
      <c r="H50" s="331"/>
      <c r="I50" s="317" t="str">
        <f>VLOOKUP(I45,'Location Summary'!$C$2:$J$604,2,FALSE)</f>
        <v>DA+3</v>
      </c>
      <c r="J50" s="331"/>
      <c r="K50" s="317" t="str">
        <f>VLOOKUP(K45,'Location Summary'!$C$2:$J$604,2,FALSE)</f>
        <v>DA+3</v>
      </c>
      <c r="L50" s="331"/>
      <c r="M50" s="317" t="str">
        <f>VLOOKUP(M45,'Location Summary'!$C$2:$J$604,2,FALSE)</f>
        <v>DA+9</v>
      </c>
      <c r="N50" s="331"/>
      <c r="O50" s="317" t="str">
        <f>VLOOKUP(O45,'Location Summary'!$C$2:$J$604,2,FALSE)</f>
        <v>DA+0</v>
      </c>
      <c r="P50" s="331"/>
      <c r="Q50" s="317" t="str">
        <f>VLOOKUP(Q45,'Location Summary'!$C$2:$J$604,2,FALSE)</f>
        <v>DA+0</v>
      </c>
      <c r="R50" s="331"/>
      <c r="S50" s="317" t="str">
        <f>VLOOKUP(S45,'Location Summary'!$C$2:$J$604,2,FALSE)</f>
        <v>DA+3</v>
      </c>
      <c r="T50" s="345"/>
      <c r="U50" s="317" t="str">
        <f>VLOOKUP(U45,'Location Summary'!$C$2:$J$604,2,FALSE)</f>
        <v>DA+3</v>
      </c>
      <c r="V50" s="345"/>
      <c r="W50" s="317" t="str">
        <f>VLOOKUP(W45,'Location Summary'!$C$2:$J$604,2,FALSE)</f>
        <v>DB1+6</v>
      </c>
      <c r="X50" s="345"/>
      <c r="Y50" s="317" t="str">
        <f>VLOOKUP(Y45,'Location Summary'!$C$2:$J$604,2,FALSE)</f>
        <v>DA+3</v>
      </c>
      <c r="Z50" s="345"/>
      <c r="AA50" s="317" t="str">
        <f>VLOOKUP(AA45,'Location Summary'!$C$2:$J$604,2,FALSE)</f>
        <v>DA+3</v>
      </c>
      <c r="AB50" s="345"/>
      <c r="AC50" s="372" t="str">
        <f>VLOOKUP(AC45,'Location Summary'!$C$2:$J$604,2,FALSE)</f>
        <v>DD45+0</v>
      </c>
      <c r="AD50" s="345"/>
      <c r="AE50" s="317" t="str">
        <f>VLOOKUP(AE45,'Location Summary'!$C$2:$J$604,2,FALSE)</f>
        <v>DB1+9</v>
      </c>
      <c r="AF50" s="345"/>
      <c r="AG50" s="317" t="str">
        <f>VLOOKUP(AG45,'Location Summary'!$C$2:$J$604,2,FALSE)</f>
        <v>DD60+9</v>
      </c>
      <c r="AH50" s="345"/>
      <c r="AI50" s="317" t="str">
        <f>VLOOKUP(AI45,'Location Summary'!$C$2:$J$604,2,FALSE)</f>
        <v>DB1+9</v>
      </c>
      <c r="AJ50" s="345"/>
      <c r="AK50" s="317" t="str">
        <f>VLOOKUP(AK45,'Location Summary'!$C$2:$J$604,2,FALSE)</f>
        <v>DD60+18</v>
      </c>
      <c r="AL50" s="345"/>
      <c r="AM50" s="317" t="str">
        <f>VLOOKUP(AM45,'Location Summary'!$C$2:$J$604,2,FALSE)</f>
        <v>DD60+25</v>
      </c>
      <c r="AN50" s="345"/>
      <c r="AO50" s="317" t="str">
        <f>VLOOKUP(AO45,'Location Summary'!$C$2:$J$604,2,FALSE)</f>
        <v>DA+6</v>
      </c>
      <c r="AP50" s="345"/>
      <c r="AQ50" s="317" t="str">
        <f>VLOOKUP(AQ45,'Location Summary'!$C$2:$J$604,2,FALSE)</f>
        <v>DA+3</v>
      </c>
      <c r="AR50" s="313"/>
      <c r="AS50" s="317" t="str">
        <f>VLOOKUP(AS45,'Location Summary'!$C$2:$J$604,2,FALSE)</f>
        <v>DA+3</v>
      </c>
      <c r="AT50" s="329"/>
    </row>
    <row r="51" spans="2:48" ht="15" customHeight="1" thickBot="1">
      <c r="B51" s="374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1104"/>
      <c r="P51" s="375"/>
      <c r="Q51" s="375"/>
      <c r="R51" s="621"/>
      <c r="S51" s="621"/>
      <c r="T51" s="621"/>
      <c r="U51" s="621"/>
      <c r="V51" s="621"/>
      <c r="W51" s="621"/>
      <c r="X51" s="621"/>
      <c r="Y51" s="621"/>
      <c r="Z51" s="621"/>
      <c r="AA51" s="621"/>
      <c r="AB51" s="621"/>
      <c r="AC51" s="1563" t="s">
        <v>689</v>
      </c>
      <c r="AD51" s="1563"/>
      <c r="AE51" s="1563"/>
      <c r="AF51" s="375"/>
      <c r="AG51" s="389"/>
      <c r="AH51" s="375"/>
      <c r="AI51" s="389"/>
      <c r="AJ51" s="1554" t="s">
        <v>1168</v>
      </c>
      <c r="AK51" s="1554"/>
      <c r="AL51" s="1554"/>
      <c r="AM51" s="375"/>
      <c r="AN51" s="375"/>
      <c r="AO51" s="375"/>
      <c r="AP51" s="375"/>
      <c r="AQ51" s="375"/>
      <c r="AR51" s="375"/>
      <c r="AS51" s="375"/>
      <c r="AT51" s="376"/>
      <c r="AV51" s="354"/>
    </row>
    <row r="52" spans="2:48" ht="15" customHeight="1">
      <c r="B52" s="348"/>
      <c r="C52" s="346">
        <f>AS44+1</f>
        <v>104</v>
      </c>
      <c r="D52" s="327"/>
      <c r="E52" s="346">
        <f>C52+1</f>
        <v>105</v>
      </c>
      <c r="F52" s="346"/>
      <c r="G52" s="346">
        <f>E52+1</f>
        <v>106</v>
      </c>
      <c r="H52" s="346"/>
      <c r="I52" s="346">
        <f>G52+1</f>
        <v>107</v>
      </c>
      <c r="J52" s="346"/>
      <c r="K52" s="346">
        <f>I52+1</f>
        <v>108</v>
      </c>
      <c r="L52" s="346"/>
      <c r="M52" s="346">
        <f>K52+1</f>
        <v>109</v>
      </c>
      <c r="N52" s="346"/>
      <c r="O52" s="346">
        <f>M52+1</f>
        <v>110</v>
      </c>
      <c r="P52" s="346"/>
      <c r="Q52" s="346">
        <f>O52+1</f>
        <v>111</v>
      </c>
      <c r="R52" s="346"/>
      <c r="S52" s="346">
        <f>Q52+1</f>
        <v>112</v>
      </c>
      <c r="T52" s="346"/>
      <c r="U52" s="346">
        <f>S52+1</f>
        <v>113</v>
      </c>
      <c r="V52" s="346"/>
      <c r="W52" s="346">
        <f>U52+1</f>
        <v>114</v>
      </c>
      <c r="X52" s="346"/>
      <c r="Y52" s="346">
        <f>W52+1</f>
        <v>115</v>
      </c>
      <c r="Z52" s="346"/>
      <c r="AA52" s="346">
        <f>Y52+1</f>
        <v>116</v>
      </c>
      <c r="AB52" s="346"/>
      <c r="AC52" s="346">
        <f>AA52+1</f>
        <v>117</v>
      </c>
      <c r="AD52" s="346"/>
      <c r="AE52" s="346">
        <f>AC52+1</f>
        <v>118</v>
      </c>
      <c r="AF52" s="346"/>
      <c r="AG52" s="346">
        <f>AE52+1</f>
        <v>119</v>
      </c>
      <c r="AH52" s="346"/>
      <c r="AI52" s="346">
        <f>AG52+1</f>
        <v>120</v>
      </c>
      <c r="AJ52" s="346"/>
      <c r="AK52" s="346">
        <f>AI52+1</f>
        <v>121</v>
      </c>
      <c r="AL52" s="359"/>
      <c r="AM52" s="346">
        <f>AK52+1</f>
        <v>122</v>
      </c>
      <c r="AO52" s="346">
        <f>AM52+1</f>
        <v>123</v>
      </c>
      <c r="AP52" s="346"/>
      <c r="AQ52" s="346">
        <f>AO52+1</f>
        <v>124</v>
      </c>
      <c r="AR52" s="346"/>
      <c r="AS52" s="346">
        <f>AQ52+1</f>
        <v>125</v>
      </c>
      <c r="AT52" s="329"/>
    </row>
    <row r="53" spans="2:48" s="351" customFormat="1" ht="15" customHeight="1">
      <c r="B53" s="365"/>
      <c r="C53" s="359" t="s">
        <v>417</v>
      </c>
      <c r="D53" s="359"/>
      <c r="E53" s="359" t="s">
        <v>418</v>
      </c>
      <c r="F53" s="359"/>
      <c r="G53" s="359" t="s">
        <v>419</v>
      </c>
      <c r="H53" s="359"/>
      <c r="I53" s="359" t="s">
        <v>420</v>
      </c>
      <c r="J53" s="359"/>
      <c r="K53" s="359" t="s">
        <v>421</v>
      </c>
      <c r="L53" s="359"/>
      <c r="M53" s="359" t="s">
        <v>422</v>
      </c>
      <c r="N53" s="359"/>
      <c r="O53" s="359" t="s">
        <v>423</v>
      </c>
      <c r="P53" s="359"/>
      <c r="Q53" s="359" t="s">
        <v>424</v>
      </c>
      <c r="R53" s="359"/>
      <c r="S53" s="359" t="s">
        <v>425</v>
      </c>
      <c r="T53" s="359"/>
      <c r="U53" s="359" t="s">
        <v>12</v>
      </c>
      <c r="V53" s="313"/>
      <c r="W53" s="359" t="s">
        <v>13</v>
      </c>
      <c r="X53" s="359"/>
      <c r="Y53" s="359" t="s">
        <v>51</v>
      </c>
      <c r="Z53" s="359"/>
      <c r="AA53" s="359" t="s">
        <v>192</v>
      </c>
      <c r="AB53" s="359"/>
      <c r="AC53" s="359" t="s">
        <v>193</v>
      </c>
      <c r="AD53" s="359"/>
      <c r="AE53" s="359" t="s">
        <v>254</v>
      </c>
      <c r="AF53" s="359"/>
      <c r="AG53" s="359" t="s">
        <v>253</v>
      </c>
      <c r="AH53" s="359"/>
      <c r="AI53" s="359" t="s">
        <v>252</v>
      </c>
      <c r="AJ53" s="359"/>
      <c r="AK53" s="359" t="s">
        <v>251</v>
      </c>
      <c r="AM53" s="359" t="s">
        <v>426</v>
      </c>
      <c r="AN53" s="359"/>
      <c r="AO53" s="359" t="s">
        <v>52</v>
      </c>
      <c r="AP53" s="359"/>
      <c r="AQ53" s="359" t="s">
        <v>53</v>
      </c>
      <c r="AR53" s="359"/>
      <c r="AS53" s="359" t="s">
        <v>174</v>
      </c>
      <c r="AT53" s="360"/>
    </row>
    <row r="54" spans="2:48" ht="15" customHeight="1">
      <c r="B54" s="355"/>
      <c r="T54" s="317"/>
      <c r="V54" s="317"/>
      <c r="X54" s="317"/>
      <c r="Z54" s="317"/>
      <c r="AB54" s="317"/>
      <c r="AD54" s="317"/>
      <c r="AF54" s="317"/>
      <c r="AH54" s="317"/>
      <c r="AJ54" s="317"/>
      <c r="AL54" s="351"/>
      <c r="AN54" s="317"/>
      <c r="AP54" s="317"/>
      <c r="AR54" s="317"/>
      <c r="AT54" s="329"/>
    </row>
    <row r="55" spans="2:48" ht="15" customHeight="1">
      <c r="B55" s="361"/>
      <c r="AT55" s="329"/>
    </row>
    <row r="56" spans="2:48" s="370" customFormat="1" ht="20.25" customHeight="1">
      <c r="B56" s="367"/>
      <c r="C56" s="339">
        <v>3</v>
      </c>
      <c r="D56" s="368">
        <f>VLOOKUP(C53,'Location Summary'!$G$2:$H$604,2,FALSE)</f>
        <v>410</v>
      </c>
      <c r="E56" s="339">
        <v>3</v>
      </c>
      <c r="F56" s="368">
        <f>VLOOKUP(E53,'Location Summary'!$G$2:$H$604,2,FALSE)</f>
        <v>285</v>
      </c>
      <c r="G56" s="339">
        <v>3</v>
      </c>
      <c r="H56" s="368">
        <f>VLOOKUP(G53,'Location Summary'!$G$2:$H$604,2,FALSE)</f>
        <v>355</v>
      </c>
      <c r="I56" s="339">
        <v>3</v>
      </c>
      <c r="J56" s="368">
        <f>VLOOKUP(I53,'Location Summary'!$G$2:$H$604,2,FALSE)</f>
        <v>355</v>
      </c>
      <c r="K56" s="339">
        <v>3</v>
      </c>
      <c r="L56" s="368">
        <f>VLOOKUP(K53,'Location Summary'!$G$2:$H$604,2,FALSE)</f>
        <v>410</v>
      </c>
      <c r="M56" s="339">
        <v>3</v>
      </c>
      <c r="N56" s="368">
        <f>VLOOKUP(M53,'Location Summary'!$G$2:$H$604,2,FALSE)</f>
        <v>430</v>
      </c>
      <c r="O56" s="339">
        <v>3</v>
      </c>
      <c r="P56" s="368">
        <f>VLOOKUP(O53,'Location Summary'!$G$2:$H$604,2,FALSE)</f>
        <v>385</v>
      </c>
      <c r="Q56" s="339">
        <v>3</v>
      </c>
      <c r="R56" s="368">
        <f>VLOOKUP(Q53,'Location Summary'!$G$2:$H$604,2,FALSE)</f>
        <v>455</v>
      </c>
      <c r="S56" s="339">
        <v>3</v>
      </c>
      <c r="T56" s="368">
        <f>VLOOKUP(S53,'Location Summary'!$G$2:$H$604,2,FALSE)</f>
        <v>288.42500000000001</v>
      </c>
      <c r="U56" s="339">
        <v>3</v>
      </c>
      <c r="V56" s="368">
        <f>VLOOKUP(U53,'Location Summary'!$G$2:$H$604,2,FALSE)</f>
        <v>392.69</v>
      </c>
      <c r="W56" s="339">
        <v>3</v>
      </c>
      <c r="X56" s="368">
        <f>VLOOKUP(W53,'Location Summary'!$G$2:$H$604,2,FALSE)</f>
        <v>398.4</v>
      </c>
      <c r="Y56" s="339">
        <v>3</v>
      </c>
      <c r="Z56" s="368">
        <f>VLOOKUP(Y53,'Location Summary'!$G$2:$H$604,2,FALSE)</f>
        <v>307.59500000000003</v>
      </c>
      <c r="AA56" s="339">
        <v>3</v>
      </c>
      <c r="AB56" s="368">
        <f>VLOOKUP(AA53,'Location Summary'!$G$2:$H$604,2,FALSE)</f>
        <v>390</v>
      </c>
      <c r="AC56" s="339">
        <v>3</v>
      </c>
      <c r="AD56" s="368">
        <f>VLOOKUP(AC53,'Location Summary'!$G$2:$H$604,2,FALSE)</f>
        <v>380</v>
      </c>
      <c r="AE56" s="339">
        <v>3</v>
      </c>
      <c r="AF56" s="368">
        <f>VLOOKUP(AE53,'Location Summary'!$G$2:$H$604,2,FALSE)</f>
        <v>405</v>
      </c>
      <c r="AG56" s="339">
        <v>3</v>
      </c>
      <c r="AH56" s="368">
        <f>VLOOKUP(AG53,'Location Summary'!$G$2:$H$604,2,FALSE)</f>
        <v>335</v>
      </c>
      <c r="AI56" s="339">
        <v>3</v>
      </c>
      <c r="AJ56" s="368">
        <f>VLOOKUP(AI53,'Location Summary'!$G$2:$H$604,2,FALSE)</f>
        <v>425</v>
      </c>
      <c r="AK56" s="339">
        <v>3</v>
      </c>
      <c r="AL56" s="368">
        <f>VLOOKUP(AK53,'Location Summary'!$G$2:$H$604,2,FALSE)</f>
        <v>402</v>
      </c>
      <c r="AM56" s="379">
        <v>3</v>
      </c>
      <c r="AN56" s="368">
        <f>VLOOKUP(AM53,'Location Summary'!$G$2:$H$604,2,FALSE)</f>
        <v>385.43400000000003</v>
      </c>
      <c r="AO56" s="339">
        <v>3</v>
      </c>
      <c r="AP56" s="368">
        <f>VLOOKUP(AO53,'Location Summary'!$G$2:$H$604,2,FALSE)</f>
        <v>279.36</v>
      </c>
      <c r="AQ56" s="339">
        <v>3</v>
      </c>
      <c r="AR56" s="368">
        <f>VLOOKUP(AQ53,'Location Summary'!$G$2:$H$604,2,FALSE)</f>
        <v>388.51499999999999</v>
      </c>
      <c r="AS56" s="339">
        <v>3</v>
      </c>
      <c r="AT56" s="369">
        <f>VLOOKUP(AS53,'Location Summary'!$G$2:$H$604,2,FALSE)</f>
        <v>330</v>
      </c>
    </row>
    <row r="57" spans="2:48" ht="15" customHeight="1">
      <c r="B57" s="361"/>
      <c r="C57" s="322"/>
      <c r="E57" s="322"/>
      <c r="G57" s="377">
        <v>2</v>
      </c>
      <c r="I57" s="344">
        <v>2</v>
      </c>
      <c r="K57" s="344">
        <v>2</v>
      </c>
      <c r="M57" s="344">
        <v>2</v>
      </c>
      <c r="O57" s="344">
        <v>2</v>
      </c>
      <c r="Q57" s="344">
        <v>2</v>
      </c>
      <c r="S57" s="344">
        <v>2</v>
      </c>
      <c r="U57" s="344">
        <v>2</v>
      </c>
      <c r="W57" s="344">
        <v>2</v>
      </c>
      <c r="Y57" s="344">
        <v>2</v>
      </c>
      <c r="AA57" s="344">
        <v>2</v>
      </c>
      <c r="AC57" s="344">
        <v>2</v>
      </c>
      <c r="AE57" s="344">
        <v>2</v>
      </c>
      <c r="AG57" s="344">
        <v>2</v>
      </c>
      <c r="AI57" s="344">
        <v>2</v>
      </c>
      <c r="AK57" s="344">
        <v>2</v>
      </c>
      <c r="AM57" s="344">
        <v>2</v>
      </c>
      <c r="AO57" s="344">
        <v>2</v>
      </c>
      <c r="AQ57" s="344">
        <v>2</v>
      </c>
      <c r="AS57" s="344">
        <v>2</v>
      </c>
      <c r="AT57" s="329"/>
    </row>
    <row r="58" spans="2:48" ht="15" customHeight="1">
      <c r="B58" s="355"/>
      <c r="C58" s="317" t="str">
        <f>VLOOKUP(C53,'Location Summary'!$C$2:$J$604,2,FALSE)</f>
        <v>DA+6</v>
      </c>
      <c r="D58" s="331"/>
      <c r="E58" s="317" t="str">
        <f>VLOOKUP(E53,'Location Summary'!$C$2:$J$604,2,FALSE)</f>
        <v>DA+3</v>
      </c>
      <c r="F58" s="331"/>
      <c r="G58" s="317" t="str">
        <f>VLOOKUP(G53,'Location Summary'!$C$2:$J$604,2,FALSE)</f>
        <v>DA+9</v>
      </c>
      <c r="H58" s="331"/>
      <c r="I58" s="317" t="str">
        <f>VLOOKUP(I53,'Location Summary'!$C$2:$J$604,2,FALSE)</f>
        <v>DA+0</v>
      </c>
      <c r="J58" s="331"/>
      <c r="K58" s="317" t="str">
        <f>VLOOKUP(K53,'Location Summary'!$C$2:$J$604,2,FALSE)</f>
        <v>DA+1.5</v>
      </c>
      <c r="L58" s="331"/>
      <c r="M58" s="317" t="str">
        <f>VLOOKUP(M53,'Location Summary'!$C$2:$J$604,2,FALSE)</f>
        <v>DA+0</v>
      </c>
      <c r="N58" s="331"/>
      <c r="O58" s="317" t="str">
        <f>VLOOKUP(O53,'Location Summary'!$C$2:$J$604,2,FALSE)</f>
        <v>DA-1.5</v>
      </c>
      <c r="P58" s="331"/>
      <c r="Q58" s="317" t="str">
        <f>VLOOKUP(Q53,'Location Summary'!$C$2:$J$604,2,FALSE)</f>
        <v>DA+0</v>
      </c>
      <c r="R58" s="331"/>
      <c r="S58" s="317" t="str">
        <f>VLOOKUP(S53,'Location Summary'!$C$2:$J$604,2,FALSE)</f>
        <v>DA+6</v>
      </c>
      <c r="T58" s="345"/>
      <c r="U58" s="317" t="str">
        <f>VLOOKUP(U53,'Location Summary'!$C$2:$J$604,2,FALSE)</f>
        <v>DC2+0</v>
      </c>
      <c r="V58" s="345"/>
      <c r="W58" s="317" t="str">
        <f>VLOOKUP(W53,'Location Summary'!$C$2:$J$604,2,FALSE)</f>
        <v>DC1+3</v>
      </c>
      <c r="X58" s="345"/>
      <c r="Y58" s="317" t="str">
        <f>VLOOKUP(Y53,'Location Summary'!$C$2:$J$604,2,FALSE)</f>
        <v>DB2+6</v>
      </c>
      <c r="Z58" s="345"/>
      <c r="AA58" s="317" t="str">
        <f>VLOOKUP(AA53,'Location Summary'!$C$2:$J$604,2,FALSE)</f>
        <v>DA+3</v>
      </c>
      <c r="AB58" s="345"/>
      <c r="AC58" s="317" t="str">
        <f>VLOOKUP(AC53,'Location Summary'!$C$2:$J$604,2,FALSE)</f>
        <v>DA+1.5</v>
      </c>
      <c r="AD58" s="345"/>
      <c r="AE58" s="317" t="str">
        <f>VLOOKUP(AE53,'Location Summary'!$C$2:$J$604,2,FALSE)</f>
        <v>DA+6</v>
      </c>
      <c r="AF58" s="345"/>
      <c r="AG58" s="317" t="str">
        <f>VLOOKUP(AG53,'Location Summary'!$C$2:$J$604,2,FALSE)</f>
        <v>DA-3</v>
      </c>
      <c r="AH58" s="345"/>
      <c r="AI58" s="317" t="str">
        <f>VLOOKUP(AI53,'Location Summary'!$C$2:$J$604,2,FALSE)</f>
        <v>DA+0</v>
      </c>
      <c r="AJ58" s="345"/>
      <c r="AK58" s="317" t="str">
        <f>VLOOKUP(AK53,'Location Summary'!$C$2:$J$604,2,FALSE)</f>
        <v>DA+9</v>
      </c>
      <c r="AL58" s="345"/>
      <c r="AM58" s="317" t="str">
        <f>VLOOKUP(AM53,'Location Summary'!$C$2:$J$604,2,FALSE)</f>
        <v>DA+1.5</v>
      </c>
      <c r="AN58" s="345"/>
      <c r="AO58" s="372" t="str">
        <f>VLOOKUP(AO53,'Location Summary'!$C$2:$J$604,2,FALSE)</f>
        <v>DD60+3</v>
      </c>
      <c r="AP58" s="345"/>
      <c r="AQ58" s="378" t="str">
        <f>VLOOKUP(AQ53,'Location Summary'!$C$2:$J$604,2,FALSE)</f>
        <v>DD60+3</v>
      </c>
      <c r="AS58" s="317" t="str">
        <f>VLOOKUP(AS53,'Location Summary'!$C$2:$J$604,2,FALSE)</f>
        <v>DA-3</v>
      </c>
      <c r="AT58" s="329"/>
    </row>
    <row r="59" spans="2:48" ht="15" customHeight="1">
      <c r="B59" s="355"/>
      <c r="C59" s="317"/>
      <c r="D59" s="317"/>
      <c r="E59" s="317"/>
      <c r="F59" s="317"/>
      <c r="G59" s="317"/>
      <c r="H59" s="317"/>
      <c r="I59" s="317"/>
      <c r="J59" s="317"/>
      <c r="K59" s="1555" t="s">
        <v>515</v>
      </c>
      <c r="L59" s="1555"/>
      <c r="M59" s="1555"/>
      <c r="N59" s="317"/>
      <c r="O59" s="317"/>
      <c r="P59" s="345"/>
      <c r="Q59" s="328"/>
      <c r="R59" s="317"/>
      <c r="T59" s="345"/>
      <c r="U59" s="346"/>
      <c r="V59" s="317"/>
      <c r="W59" s="346"/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45"/>
      <c r="AI59" s="317"/>
      <c r="AJ59" s="317"/>
      <c r="AK59" s="317"/>
      <c r="AL59" s="317"/>
      <c r="AM59" s="317"/>
      <c r="AN59" s="1555" t="s">
        <v>309</v>
      </c>
      <c r="AO59" s="1555"/>
      <c r="AP59" s="1555"/>
      <c r="AQ59" s="1555"/>
      <c r="AR59" s="317"/>
      <c r="AS59" s="317"/>
      <c r="AT59" s="329"/>
      <c r="AV59" s="354"/>
    </row>
    <row r="60" spans="2:48" ht="15" customHeight="1">
      <c r="B60" s="348"/>
      <c r="C60" s="346">
        <f>AS52+1</f>
        <v>126</v>
      </c>
      <c r="D60" s="327"/>
      <c r="E60" s="346">
        <f>C60+1</f>
        <v>127</v>
      </c>
      <c r="F60" s="346"/>
      <c r="G60" s="346">
        <f>E60+1</f>
        <v>128</v>
      </c>
      <c r="H60" s="346"/>
      <c r="I60" s="346">
        <f>G60+1</f>
        <v>129</v>
      </c>
      <c r="J60" s="346"/>
      <c r="K60" s="346">
        <f>I60+1</f>
        <v>130</v>
      </c>
      <c r="L60" s="346"/>
      <c r="M60" s="346">
        <f>K60+1</f>
        <v>131</v>
      </c>
      <c r="N60" s="346"/>
      <c r="O60" s="346">
        <f>M60+1</f>
        <v>132</v>
      </c>
      <c r="P60" s="346"/>
      <c r="Q60" s="346">
        <f>O60+1</f>
        <v>133</v>
      </c>
      <c r="R60" s="346"/>
      <c r="S60" s="346">
        <f>Q60+1</f>
        <v>134</v>
      </c>
      <c r="T60" s="346"/>
      <c r="U60" s="346">
        <f>S60+1</f>
        <v>135</v>
      </c>
      <c r="V60" s="346"/>
      <c r="W60" s="346">
        <f>U60+1</f>
        <v>136</v>
      </c>
      <c r="X60" s="346"/>
      <c r="Y60" s="346">
        <f>W60+1</f>
        <v>137</v>
      </c>
      <c r="Z60" s="346"/>
      <c r="AA60" s="346">
        <f>Y60+1</f>
        <v>138</v>
      </c>
      <c r="AB60" s="346"/>
      <c r="AC60" s="346">
        <f>AA60+1</f>
        <v>139</v>
      </c>
      <c r="AD60" s="346"/>
      <c r="AE60" s="346">
        <f>AC60+1</f>
        <v>140</v>
      </c>
      <c r="AF60" s="346"/>
      <c r="AG60" s="346">
        <f>AE60+1</f>
        <v>141</v>
      </c>
      <c r="AH60" s="359"/>
      <c r="AI60" s="346">
        <f>AG60+1</f>
        <v>142</v>
      </c>
      <c r="AJ60" s="346"/>
      <c r="AK60" s="346">
        <f>AI60+1</f>
        <v>143</v>
      </c>
      <c r="AL60" s="346"/>
      <c r="AM60" s="346">
        <f>AK60+1</f>
        <v>144</v>
      </c>
      <c r="AO60" s="346">
        <f>AM60+1</f>
        <v>145</v>
      </c>
      <c r="AP60" s="346"/>
      <c r="AQ60" s="346">
        <f>AO60+1</f>
        <v>146</v>
      </c>
      <c r="AR60" s="346"/>
      <c r="AS60" s="346">
        <f>AQ60+1</f>
        <v>147</v>
      </c>
      <c r="AT60" s="329"/>
    </row>
    <row r="61" spans="2:48" s="359" customFormat="1" ht="15" customHeight="1">
      <c r="B61" s="349"/>
      <c r="C61" s="359" t="s">
        <v>175</v>
      </c>
      <c r="E61" s="359" t="s">
        <v>176</v>
      </c>
      <c r="G61" s="359" t="s">
        <v>177</v>
      </c>
      <c r="I61" s="359" t="s">
        <v>427</v>
      </c>
      <c r="K61" s="359" t="s">
        <v>428</v>
      </c>
      <c r="M61" s="359" t="s">
        <v>54</v>
      </c>
      <c r="O61" s="359" t="s">
        <v>179</v>
      </c>
      <c r="Q61" s="359" t="s">
        <v>180</v>
      </c>
      <c r="S61" s="359" t="s">
        <v>181</v>
      </c>
      <c r="U61" s="359" t="s">
        <v>182</v>
      </c>
      <c r="W61" s="359" t="s">
        <v>429</v>
      </c>
      <c r="Y61" s="359" t="s">
        <v>55</v>
      </c>
      <c r="AA61" s="359" t="s">
        <v>56</v>
      </c>
      <c r="AC61" s="359" t="s">
        <v>676</v>
      </c>
      <c r="AE61" s="359" t="s">
        <v>57</v>
      </c>
      <c r="AG61" s="359" t="s">
        <v>58</v>
      </c>
      <c r="AI61" s="359" t="s">
        <v>59</v>
      </c>
      <c r="AK61" s="359" t="s">
        <v>60</v>
      </c>
      <c r="AM61" s="359" t="s">
        <v>61</v>
      </c>
      <c r="AO61" s="359" t="s">
        <v>62</v>
      </c>
      <c r="AQ61" s="359" t="s">
        <v>153</v>
      </c>
      <c r="AS61" s="359" t="s">
        <v>155</v>
      </c>
      <c r="AT61" s="360"/>
    </row>
    <row r="62" spans="2:48" ht="15" customHeight="1">
      <c r="B62" s="380"/>
      <c r="T62" s="317"/>
      <c r="V62" s="317"/>
      <c r="X62" s="317"/>
      <c r="Z62" s="366" t="s">
        <v>233</v>
      </c>
      <c r="AB62" s="317"/>
      <c r="AD62" s="317"/>
      <c r="AF62" s="366" t="s">
        <v>232</v>
      </c>
      <c r="AH62" s="317"/>
      <c r="AJ62" s="366" t="s">
        <v>688</v>
      </c>
      <c r="AL62" s="317"/>
      <c r="AN62" s="317"/>
      <c r="AP62" s="317"/>
      <c r="AR62" s="317"/>
      <c r="AT62" s="329"/>
    </row>
    <row r="63" spans="2:48" ht="15" customHeight="1">
      <c r="B63" s="361"/>
      <c r="AT63" s="329"/>
    </row>
    <row r="64" spans="2:48" s="370" customFormat="1" ht="20.25" customHeight="1">
      <c r="B64" s="361"/>
      <c r="C64" s="662">
        <v>3</v>
      </c>
      <c r="D64" s="340">
        <f>VLOOKUP(C61,'Location Summary'!$G$2:$H$604,2,FALSE)</f>
        <v>340</v>
      </c>
      <c r="E64" s="662">
        <v>3</v>
      </c>
      <c r="F64" s="340">
        <f>VLOOKUP(E61,'Location Summary'!$G$2:$H$604,2,FALSE)</f>
        <v>420</v>
      </c>
      <c r="G64" s="662">
        <v>3</v>
      </c>
      <c r="H64" s="340">
        <f>VLOOKUP(G61,'Location Summary'!$G$2:$H$604,2,FALSE)</f>
        <v>396</v>
      </c>
      <c r="I64" s="662">
        <v>3</v>
      </c>
      <c r="J64" s="340">
        <f>VLOOKUP(I61,'Location Summary'!$G$2:$H$604,2,FALSE)</f>
        <v>355</v>
      </c>
      <c r="K64" s="662">
        <v>3</v>
      </c>
      <c r="L64" s="340">
        <f>VLOOKUP(K61,'Location Summary'!$G$2:$H$604,2,FALSE)</f>
        <v>320.65199999999999</v>
      </c>
      <c r="M64" s="662">
        <v>3</v>
      </c>
      <c r="N64" s="340">
        <f>VLOOKUP(M61,'Location Summary'!$G$2:$H$604,2,FALSE)</f>
        <v>326.34800000000001</v>
      </c>
      <c r="O64" s="662">
        <v>3</v>
      </c>
      <c r="P64" s="340">
        <f>VLOOKUP(O61,'Location Summary'!$G$2:$H$604,2,FALSE)</f>
        <v>427</v>
      </c>
      <c r="Q64" s="662">
        <v>3</v>
      </c>
      <c r="R64" s="340">
        <f>VLOOKUP(Q61,'Location Summary'!$G$2:$H$604,2,FALSE)</f>
        <v>410</v>
      </c>
      <c r="S64" s="662">
        <v>3</v>
      </c>
      <c r="T64" s="340">
        <f>VLOOKUP(S61,'Location Summary'!$G$2:$H$604,2,FALSE)</f>
        <v>405</v>
      </c>
      <c r="U64" s="662">
        <v>3</v>
      </c>
      <c r="V64" s="340">
        <f>VLOOKUP(U61,'Location Summary'!$G$2:$H$604,2,FALSE)</f>
        <v>300</v>
      </c>
      <c r="W64" s="662">
        <v>3</v>
      </c>
      <c r="X64" s="340">
        <f>VLOOKUP(W61,'Location Summary'!$G$2:$H$604,2,FALSE)</f>
        <v>415.18700000000001</v>
      </c>
      <c r="Y64" s="339">
        <v>3</v>
      </c>
      <c r="Z64" s="340">
        <f>VLOOKUP(Y61,'Location Summary'!$G$2:$H$604,2,FALSE)</f>
        <v>259.05</v>
      </c>
      <c r="AA64" s="339">
        <v>3</v>
      </c>
      <c r="AB64" s="340">
        <f>VLOOKUP(AA61,'Location Summary'!$G$2:$H$604,2,FALSE)</f>
        <v>440.46</v>
      </c>
      <c r="AC64" s="339">
        <v>3</v>
      </c>
      <c r="AD64" s="340">
        <f>VLOOKUP(AC61,'Location Summary'!$G$2:$H$604,2,FALSE)</f>
        <v>496.69</v>
      </c>
      <c r="AE64" s="339">
        <v>3</v>
      </c>
      <c r="AF64" s="340">
        <f>VLOOKUP(AE61,'Location Summary'!$G$2:$H$604,2,FALSE)</f>
        <v>244.03</v>
      </c>
      <c r="AG64" s="339">
        <v>3</v>
      </c>
      <c r="AH64" s="340">
        <f>VLOOKUP(AG61,'Location Summary'!$G$2:$H$604,2,FALSE)</f>
        <v>237.43</v>
      </c>
      <c r="AI64" s="339">
        <v>3</v>
      </c>
      <c r="AJ64" s="340">
        <f>VLOOKUP(AI61,'Location Summary'!$G$2:$H$604,2,FALSE)</f>
        <v>203.48</v>
      </c>
      <c r="AK64" s="339">
        <v>3</v>
      </c>
      <c r="AL64" s="340">
        <f>VLOOKUP(AK61,'Location Summary'!$G$2:$H$604,2,FALSE)</f>
        <v>453.68799999999999</v>
      </c>
      <c r="AM64" s="339">
        <v>3</v>
      </c>
      <c r="AN64" s="340">
        <f>VLOOKUP(AM61,'Location Summary'!$G$2:$H$604,2,FALSE)</f>
        <v>345</v>
      </c>
      <c r="AO64" s="339">
        <v>3</v>
      </c>
      <c r="AP64" s="340">
        <f>VLOOKUP(AO61,'Location Summary'!$G$2:$H$604,2,FALSE)</f>
        <v>360</v>
      </c>
      <c r="AQ64" s="339">
        <v>3</v>
      </c>
      <c r="AR64" s="340">
        <f>VLOOKUP(AQ61,'Location Summary'!$G$2:$H$604,2,FALSE)</f>
        <v>410</v>
      </c>
      <c r="AS64" s="339">
        <v>3</v>
      </c>
      <c r="AT64" s="341">
        <f>VLOOKUP(AS61,'Location Summary'!$G$2:$H$604,2,FALSE)</f>
        <v>350</v>
      </c>
    </row>
    <row r="65" spans="2:72" s="370" customFormat="1" ht="15" customHeight="1">
      <c r="B65" s="367"/>
      <c r="C65" s="344">
        <v>2</v>
      </c>
      <c r="D65" s="313"/>
      <c r="E65" s="344">
        <v>2</v>
      </c>
      <c r="F65" s="313"/>
      <c r="G65" s="344">
        <v>2</v>
      </c>
      <c r="H65" s="313"/>
      <c r="I65" s="344">
        <v>2</v>
      </c>
      <c r="J65" s="313"/>
      <c r="K65" s="344">
        <v>2</v>
      </c>
      <c r="L65" s="313"/>
      <c r="M65" s="344">
        <v>2</v>
      </c>
      <c r="N65" s="313"/>
      <c r="O65" s="344">
        <v>2</v>
      </c>
      <c r="P65" s="313"/>
      <c r="Q65" s="344">
        <v>2</v>
      </c>
      <c r="R65" s="313"/>
      <c r="S65" s="344">
        <v>2</v>
      </c>
      <c r="T65" s="313"/>
      <c r="U65" s="344">
        <v>2</v>
      </c>
      <c r="V65" s="313"/>
      <c r="W65" s="344">
        <v>2</v>
      </c>
      <c r="X65" s="313"/>
      <c r="Y65" s="344">
        <v>2</v>
      </c>
      <c r="Z65" s="313"/>
      <c r="AA65" s="344">
        <v>2</v>
      </c>
      <c r="AB65" s="313"/>
      <c r="AC65" s="344">
        <v>2</v>
      </c>
      <c r="AD65" s="313"/>
      <c r="AE65" s="344">
        <v>2</v>
      </c>
      <c r="AF65" s="313"/>
      <c r="AG65" s="344">
        <v>2</v>
      </c>
      <c r="AH65" s="313"/>
      <c r="AI65" s="344">
        <v>2</v>
      </c>
      <c r="AJ65" s="313"/>
      <c r="AK65" s="344">
        <v>2</v>
      </c>
      <c r="AL65" s="313"/>
      <c r="AM65" s="344">
        <v>2</v>
      </c>
      <c r="AN65" s="313"/>
      <c r="AO65" s="344">
        <v>2</v>
      </c>
      <c r="AP65" s="313"/>
      <c r="AQ65" s="344">
        <v>2</v>
      </c>
      <c r="AR65" s="313"/>
      <c r="AS65" s="344">
        <v>2</v>
      </c>
      <c r="AT65" s="329"/>
    </row>
    <row r="66" spans="2:72" ht="15" customHeight="1">
      <c r="B66" s="355"/>
      <c r="C66" s="317" t="str">
        <f>VLOOKUP(C61,'Location Summary'!$C$2:$J$604,2,FALSE)</f>
        <v>DA-3</v>
      </c>
      <c r="D66" s="331"/>
      <c r="E66" s="317" t="str">
        <f>VLOOKUP(E61,'Location Summary'!$C$2:$J$604,2,FALSE)</f>
        <v>DA+1.5</v>
      </c>
      <c r="F66" s="331"/>
      <c r="G66" s="317" t="str">
        <f>VLOOKUP(G61,'Location Summary'!$C$2:$J$604,2,FALSE)</f>
        <v>DA+3</v>
      </c>
      <c r="H66" s="331"/>
      <c r="I66" s="317" t="str">
        <f>VLOOKUP(I61,'Location Summary'!$C$2:$J$604,2,FALSE)</f>
        <v>DA+0</v>
      </c>
      <c r="J66" s="331"/>
      <c r="K66" s="317" t="str">
        <f>VLOOKUP(K61,'Location Summary'!$C$2:$J$604,2,FALSE)</f>
        <v>DA-3</v>
      </c>
      <c r="L66" s="331"/>
      <c r="M66" s="317" t="str">
        <f>VLOOKUP(M61,'Location Summary'!$C$2:$J$604,2,FALSE)</f>
        <v>DB1+0</v>
      </c>
      <c r="N66" s="331"/>
      <c r="O66" s="317" t="str">
        <f>VLOOKUP(O61,'Location Summary'!$C$2:$J$604,2,FALSE)</f>
        <v>DA+0</v>
      </c>
      <c r="P66" s="331"/>
      <c r="Q66" s="317" t="str">
        <f>VLOOKUP(Q61,'Location Summary'!$C$2:$J$604,2,FALSE)</f>
        <v>DA+6</v>
      </c>
      <c r="R66" s="331"/>
      <c r="S66" s="317" t="str">
        <f>VLOOKUP(S61,'Location Summary'!$C$2:$J$604,2,FALSE)</f>
        <v>DA+6</v>
      </c>
      <c r="T66" s="345"/>
      <c r="U66" s="317" t="str">
        <f>VLOOKUP(U61,'Location Summary'!$C$2:$J$604,2,FALSE)</f>
        <v>DA+0</v>
      </c>
      <c r="V66" s="345"/>
      <c r="W66" s="317" t="str">
        <f>VLOOKUP(W61,'Location Summary'!$C$2:$J$604,2,FALSE)</f>
        <v>DA+0</v>
      </c>
      <c r="X66" s="345"/>
      <c r="Y66" s="317" t="str">
        <f>VLOOKUP(Y61,'Location Summary'!$C$2:$J$604,2,FALSE)</f>
        <v>DC2+15</v>
      </c>
      <c r="Z66" s="345"/>
      <c r="AA66" s="317" t="str">
        <f>VLOOKUP(AA61,'Location Summary'!$C$2:$J$604,2,FALSE)</f>
        <v>DB2+9</v>
      </c>
      <c r="AB66" s="345"/>
      <c r="AC66" s="317" t="str">
        <f>VLOOKUP(AC61,'Location Summary'!$C$2:$J$604,2,FALSE)</f>
        <v>DB1+9</v>
      </c>
      <c r="AD66" s="345"/>
      <c r="AE66" s="317" t="str">
        <f>VLOOKUP(AE61,'Location Summary'!$C$2:$J$604,2,FALSE)</f>
        <v>DD60+18</v>
      </c>
      <c r="AF66" s="345"/>
      <c r="AG66" s="317" t="str">
        <f>VLOOKUP(AG61,'Location Summary'!$C$2:$J$604,2,FALSE)</f>
        <v>DD60+18</v>
      </c>
      <c r="AH66" s="345"/>
      <c r="AI66" s="317" t="str">
        <f>VLOOKUP(AI61,'Location Summary'!$C$2:$J$604,2,FALSE)</f>
        <v>DD60+35</v>
      </c>
      <c r="AJ66" s="345"/>
      <c r="AK66" s="317" t="str">
        <f>VLOOKUP(AK61,'Location Summary'!$C$2:$J$604,2,FALSE)</f>
        <v>DD60+35</v>
      </c>
      <c r="AL66" s="345"/>
      <c r="AM66" s="317" t="str">
        <f>VLOOKUP(AM61,'Location Summary'!$C$2:$J$604,2,FALSE)</f>
        <v>DA+9</v>
      </c>
      <c r="AN66" s="345"/>
      <c r="AO66" s="317" t="str">
        <f>VLOOKUP(AO61,'Location Summary'!$C$2:$J$604,2,FALSE)</f>
        <v>DA-1.5</v>
      </c>
      <c r="AP66" s="345"/>
      <c r="AQ66" s="317" t="str">
        <f>VLOOKUP(AQ61,'Location Summary'!$C$2:$J$604,2,FALSE)</f>
        <v>DA+1.5</v>
      </c>
      <c r="AS66" s="317" t="str">
        <f>VLOOKUP(AS61,'Location Summary'!$C$2:$J$604,2,FALSE)</f>
        <v>DA+1.5</v>
      </c>
      <c r="AT66" s="329"/>
    </row>
    <row r="67" spans="2:72" ht="15" customHeight="1">
      <c r="B67" s="381"/>
      <c r="C67" s="317"/>
      <c r="D67" s="317"/>
      <c r="E67" s="1004"/>
      <c r="F67" s="1004"/>
      <c r="G67" s="991"/>
      <c r="H67" s="961"/>
      <c r="I67" s="961"/>
      <c r="J67" s="961"/>
      <c r="K67" s="961"/>
      <c r="L67" s="961"/>
      <c r="M67" s="961"/>
      <c r="N67" s="961"/>
      <c r="O67" s="961"/>
      <c r="P67" s="961"/>
      <c r="Q67" s="961"/>
      <c r="R67" s="317"/>
      <c r="S67" s="346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  <c r="AE67" s="317"/>
      <c r="AF67" s="317"/>
      <c r="AG67" s="317"/>
      <c r="AH67" s="317"/>
      <c r="AI67" s="317"/>
      <c r="AJ67" s="317"/>
      <c r="AK67" s="317"/>
      <c r="AL67" s="317"/>
      <c r="AM67" s="346"/>
      <c r="AN67" s="317"/>
      <c r="AO67" s="317"/>
      <c r="AP67" s="317"/>
      <c r="AQ67" s="346"/>
      <c r="AR67" s="317"/>
      <c r="AS67" s="317"/>
      <c r="AT67" s="329"/>
      <c r="AV67" s="354"/>
    </row>
    <row r="68" spans="2:72" ht="15" customHeight="1">
      <c r="B68" s="348"/>
      <c r="C68" s="346">
        <f>AS60+1</f>
        <v>148</v>
      </c>
      <c r="D68" s="327"/>
      <c r="E68" s="346">
        <f>C68+1</f>
        <v>149</v>
      </c>
      <c r="F68" s="346"/>
      <c r="G68" s="346">
        <f>E68+1</f>
        <v>150</v>
      </c>
      <c r="H68" s="346"/>
      <c r="I68" s="346">
        <f>G68+1</f>
        <v>151</v>
      </c>
      <c r="J68" s="346"/>
      <c r="K68" s="346">
        <f>I68+1</f>
        <v>152</v>
      </c>
      <c r="L68" s="346"/>
      <c r="M68" s="346">
        <f>K68+1</f>
        <v>153</v>
      </c>
      <c r="N68" s="346"/>
      <c r="O68" s="346">
        <f>M68+1</f>
        <v>154</v>
      </c>
      <c r="P68" s="346"/>
      <c r="Q68" s="346">
        <f>O68+1</f>
        <v>155</v>
      </c>
      <c r="R68" s="346"/>
      <c r="S68" s="346">
        <f>Q68+1</f>
        <v>156</v>
      </c>
      <c r="T68" s="346"/>
      <c r="U68" s="346">
        <f>S68+1</f>
        <v>157</v>
      </c>
      <c r="V68" s="346"/>
      <c r="W68" s="346">
        <f>U68+1</f>
        <v>158</v>
      </c>
      <c r="X68" s="346"/>
      <c r="Y68" s="346">
        <f>W68+1</f>
        <v>159</v>
      </c>
      <c r="Z68" s="346"/>
      <c r="AA68" s="346">
        <f>Y68+1</f>
        <v>160</v>
      </c>
      <c r="AB68" s="346"/>
      <c r="AC68" s="346">
        <f>AA68+1</f>
        <v>161</v>
      </c>
      <c r="AD68" s="346"/>
      <c r="AE68" s="346">
        <f>AC68+1</f>
        <v>162</v>
      </c>
      <c r="AF68" s="346"/>
      <c r="AG68" s="346">
        <f>AE68+1</f>
        <v>163</v>
      </c>
      <c r="AH68" s="346"/>
      <c r="AI68" s="346">
        <f>AG68+1</f>
        <v>164</v>
      </c>
      <c r="AJ68" s="346"/>
      <c r="AK68" s="346">
        <f>AI68+1</f>
        <v>165</v>
      </c>
      <c r="AL68" s="346"/>
      <c r="AM68" s="346">
        <f>AK68+1</f>
        <v>166</v>
      </c>
      <c r="AN68" s="317"/>
      <c r="AO68" s="346">
        <f>AM68+1</f>
        <v>167</v>
      </c>
      <c r="AP68" s="346"/>
      <c r="AQ68" s="346">
        <f>AO68+1</f>
        <v>168</v>
      </c>
      <c r="AR68" s="346"/>
      <c r="AS68" s="346">
        <f>AQ68+1</f>
        <v>169</v>
      </c>
      <c r="AT68" s="329"/>
    </row>
    <row r="69" spans="2:72" s="359" customFormat="1" ht="15" customHeight="1">
      <c r="B69" s="349"/>
      <c r="C69" s="359" t="s">
        <v>156</v>
      </c>
      <c r="E69" s="359" t="s">
        <v>162</v>
      </c>
      <c r="G69" s="359" t="s">
        <v>63</v>
      </c>
      <c r="I69" s="359" t="s">
        <v>64</v>
      </c>
      <c r="K69" s="359" t="s">
        <v>432</v>
      </c>
      <c r="M69" s="359" t="s">
        <v>433</v>
      </c>
      <c r="O69" s="359" t="s">
        <v>434</v>
      </c>
      <c r="Q69" s="359" t="s">
        <v>435</v>
      </c>
      <c r="S69" s="359" t="s">
        <v>436</v>
      </c>
      <c r="U69" s="359" t="s">
        <v>900</v>
      </c>
      <c r="W69" s="359" t="s">
        <v>901</v>
      </c>
      <c r="Y69" s="359" t="s">
        <v>902</v>
      </c>
      <c r="AA69" s="359" t="s">
        <v>903</v>
      </c>
      <c r="AC69" s="359" t="s">
        <v>904</v>
      </c>
      <c r="AE69" s="359" t="s">
        <v>905</v>
      </c>
      <c r="AG69" s="359" t="s">
        <v>906</v>
      </c>
      <c r="AI69" s="359" t="s">
        <v>65</v>
      </c>
      <c r="AK69" s="359" t="s">
        <v>26</v>
      </c>
      <c r="AM69" s="359" t="s">
        <v>437</v>
      </c>
      <c r="AN69" s="317"/>
      <c r="AO69" s="359" t="s">
        <v>438</v>
      </c>
      <c r="AQ69" s="359" t="s">
        <v>439</v>
      </c>
      <c r="AS69" s="359" t="s">
        <v>440</v>
      </c>
      <c r="AT69" s="360"/>
    </row>
    <row r="70" spans="2:72" ht="15" customHeight="1">
      <c r="B70" s="355"/>
      <c r="D70" s="359"/>
      <c r="T70" s="317"/>
      <c r="V70" s="317"/>
      <c r="X70" s="317"/>
      <c r="Z70" s="317"/>
      <c r="AB70" s="317"/>
      <c r="AD70" s="317"/>
      <c r="AF70" s="317"/>
      <c r="AH70" s="317"/>
      <c r="AJ70" s="317"/>
      <c r="AL70" s="317"/>
      <c r="AN70" s="317"/>
      <c r="AP70" s="317"/>
      <c r="AR70" s="317"/>
      <c r="AT70" s="329"/>
    </row>
    <row r="71" spans="2:72" ht="15" customHeight="1">
      <c r="B71" s="361"/>
      <c r="AT71" s="329"/>
    </row>
    <row r="72" spans="2:72" s="370" customFormat="1" ht="20.25" customHeight="1">
      <c r="B72" s="361"/>
      <c r="C72" s="339">
        <v>3</v>
      </c>
      <c r="D72" s="340">
        <f>VLOOKUP(C69,'Location Summary'!$G$2:$H$604,2,FALSE)</f>
        <v>355</v>
      </c>
      <c r="E72" s="339">
        <v>3</v>
      </c>
      <c r="F72" s="340">
        <f>VLOOKUP(E69,'Location Summary'!$G$2:$H$604,2,FALSE)</f>
        <v>274.58699999999999</v>
      </c>
      <c r="G72" s="339">
        <v>3</v>
      </c>
      <c r="H72" s="340">
        <f>VLOOKUP(G69,'Location Summary'!$G$2:$H$604,2,FALSE)</f>
        <v>211.21</v>
      </c>
      <c r="I72" s="339">
        <v>3</v>
      </c>
      <c r="J72" s="340">
        <f>VLOOKUP(I69,'Location Summary'!$G$2:$H$604,2,FALSE)</f>
        <v>384.20400000000001</v>
      </c>
      <c r="K72" s="339">
        <v>3</v>
      </c>
      <c r="L72" s="340">
        <f>VLOOKUP(K69,'Location Summary'!$G$2:$H$604,2,FALSE)</f>
        <v>430</v>
      </c>
      <c r="M72" s="339">
        <v>3</v>
      </c>
      <c r="N72" s="340">
        <f>VLOOKUP(M69,'Location Summary'!$G$2:$H$604,2,FALSE)</f>
        <v>370</v>
      </c>
      <c r="O72" s="339">
        <v>3</v>
      </c>
      <c r="P72" s="340">
        <f>VLOOKUP(O69,'Location Summary'!$G$2:$H$604,2,FALSE)</f>
        <v>390</v>
      </c>
      <c r="Q72" s="339">
        <v>3</v>
      </c>
      <c r="R72" s="340">
        <f>VLOOKUP(Q69,'Location Summary'!$G$2:$H$604,2,FALSE)</f>
        <v>435</v>
      </c>
      <c r="S72" s="339">
        <v>3</v>
      </c>
      <c r="T72" s="340">
        <f>VLOOKUP(S69,'Location Summary'!$G$2:$H$604,2,FALSE)</f>
        <v>370</v>
      </c>
      <c r="U72" s="339">
        <v>3</v>
      </c>
      <c r="V72" s="340">
        <f>VLOOKUP(U69,'Location Summary'!$G$2:$H$604,2,FALSE)</f>
        <v>455</v>
      </c>
      <c r="W72" s="339">
        <v>3</v>
      </c>
      <c r="X72" s="340">
        <f>VLOOKUP(W69,'Location Summary'!$G$2:$H$604,2,FALSE)</f>
        <v>325</v>
      </c>
      <c r="Y72" s="339">
        <v>3</v>
      </c>
      <c r="Z72" s="340">
        <f>VLOOKUP(Y69,'Location Summary'!$G$2:$H$604,2,FALSE)</f>
        <v>395</v>
      </c>
      <c r="AA72" s="339">
        <v>3</v>
      </c>
      <c r="AB72" s="340">
        <f>VLOOKUP(AA69,'Location Summary'!$G$2:$H$604,2,FALSE)</f>
        <v>345</v>
      </c>
      <c r="AC72" s="339">
        <v>3</v>
      </c>
      <c r="AD72" s="340">
        <f>VLOOKUP(AC69,'Location Summary'!$G$2:$H$604,2,FALSE)</f>
        <v>345</v>
      </c>
      <c r="AE72" s="339">
        <v>3</v>
      </c>
      <c r="AF72" s="340">
        <f>VLOOKUP(AE69,'Location Summary'!$G$2:$H$604,2,FALSE)</f>
        <v>440</v>
      </c>
      <c r="AG72" s="339">
        <v>3</v>
      </c>
      <c r="AH72" s="340">
        <f>VLOOKUP(AG69,'Location Summary'!$G$2:$H$604,2,FALSE)</f>
        <v>364.00799999999998</v>
      </c>
      <c r="AI72" s="339">
        <v>3</v>
      </c>
      <c r="AJ72" s="340">
        <f>VLOOKUP(AI69,'Location Summary'!$G$2:$H$604,2,FALSE)</f>
        <v>295.99299999999999</v>
      </c>
      <c r="AK72" s="339">
        <v>3</v>
      </c>
      <c r="AL72" s="340">
        <f>VLOOKUP(AK69,'Location Summary'!$G$2:$H$604,2,FALSE)</f>
        <v>425</v>
      </c>
      <c r="AM72" s="339">
        <v>3</v>
      </c>
      <c r="AN72" s="340">
        <f>VLOOKUP(AM69,'Location Summary'!$G$2:$H$604,2,FALSE)</f>
        <v>315</v>
      </c>
      <c r="AO72" s="339">
        <v>3</v>
      </c>
      <c r="AP72" s="340">
        <f>VLOOKUP(AO69,'Location Summary'!$G$2:$H$604,2,FALSE)</f>
        <v>380</v>
      </c>
      <c r="AQ72" s="339">
        <v>3</v>
      </c>
      <c r="AR72" s="340">
        <f>VLOOKUP(AQ69,'Location Summary'!$G$2:$H$604,2,FALSE)</f>
        <v>430</v>
      </c>
      <c r="AS72" s="339">
        <v>3</v>
      </c>
      <c r="AT72" s="341">
        <f>VLOOKUP(AS69,'Location Summary'!$G$2:$H$604,2,FALSE)</f>
        <v>380</v>
      </c>
    </row>
    <row r="73" spans="2:72" s="370" customFormat="1" ht="15" customHeight="1">
      <c r="B73" s="367"/>
      <c r="C73" s="344">
        <v>2</v>
      </c>
      <c r="D73" s="313"/>
      <c r="E73" s="344">
        <v>2</v>
      </c>
      <c r="F73" s="313"/>
      <c r="G73" s="344">
        <v>2</v>
      </c>
      <c r="H73" s="313"/>
      <c r="I73" s="344">
        <v>2</v>
      </c>
      <c r="J73" s="313"/>
      <c r="K73" s="344">
        <v>2</v>
      </c>
      <c r="L73" s="313"/>
      <c r="M73" s="344">
        <v>2</v>
      </c>
      <c r="N73" s="313"/>
      <c r="O73" s="344">
        <v>2</v>
      </c>
      <c r="P73" s="313"/>
      <c r="Q73" s="344">
        <v>2</v>
      </c>
      <c r="R73" s="313"/>
      <c r="S73" s="344">
        <v>2</v>
      </c>
      <c r="T73" s="313"/>
      <c r="U73" s="344">
        <v>2</v>
      </c>
      <c r="V73" s="313"/>
      <c r="W73" s="344">
        <v>2</v>
      </c>
      <c r="X73" s="313"/>
      <c r="Y73" s="344">
        <v>2</v>
      </c>
      <c r="Z73" s="313"/>
      <c r="AA73" s="344">
        <v>2</v>
      </c>
      <c r="AB73" s="313"/>
      <c r="AC73" s="344">
        <v>2</v>
      </c>
      <c r="AD73" s="313"/>
      <c r="AE73" s="344">
        <v>2</v>
      </c>
      <c r="AF73" s="313"/>
      <c r="AG73" s="344">
        <v>2</v>
      </c>
      <c r="AH73" s="313"/>
      <c r="AI73" s="344">
        <v>2</v>
      </c>
      <c r="AJ73" s="313"/>
      <c r="AK73" s="344">
        <v>2</v>
      </c>
      <c r="AL73" s="313"/>
      <c r="AM73" s="344">
        <v>2</v>
      </c>
      <c r="AN73" s="313"/>
      <c r="AO73" s="344">
        <v>2</v>
      </c>
      <c r="AP73" s="313"/>
      <c r="AQ73" s="344">
        <v>2</v>
      </c>
      <c r="AR73" s="313"/>
      <c r="AS73" s="344">
        <v>2</v>
      </c>
      <c r="AT73" s="329"/>
      <c r="BT73" s="383"/>
    </row>
    <row r="74" spans="2:72" s="383" customFormat="1" ht="15" customHeight="1">
      <c r="B74" s="382"/>
      <c r="C74" s="317" t="str">
        <f>VLOOKUP(C69,'Location Summary'!$C$2:$J$604,2,FALSE)</f>
        <v>DA-1.5</v>
      </c>
      <c r="D74" s="331"/>
      <c r="E74" s="317" t="str">
        <f>VLOOKUP(E69,'Location Summary'!$C$2:$J$604,2,FALSE)</f>
        <v>DA-3</v>
      </c>
      <c r="F74" s="331"/>
      <c r="G74" s="372" t="str">
        <f>VLOOKUP(G69,'Location Summary'!$C$2:$J$604,2,FALSE)</f>
        <v>DC2-3</v>
      </c>
      <c r="H74" s="331"/>
      <c r="I74" s="317" t="str">
        <f>VLOOKUP(I69,'Location Summary'!$C$2:$J$604,2,FALSE)</f>
        <v>DC1+0</v>
      </c>
      <c r="J74" s="331"/>
      <c r="K74" s="317" t="str">
        <f>VLOOKUP(K69,'Location Summary'!$C$2:$J$604,2,FALSE)</f>
        <v>DA+6</v>
      </c>
      <c r="L74" s="331"/>
      <c r="M74" s="317" t="str">
        <f>VLOOKUP(M69,'Location Summary'!$C$2:$J$604,2,FALSE)</f>
        <v>DA+0</v>
      </c>
      <c r="N74" s="331"/>
      <c r="O74" s="317" t="str">
        <f>VLOOKUP(O69,'Location Summary'!$C$2:$J$604,2,FALSE)</f>
        <v>DA+0</v>
      </c>
      <c r="P74" s="331"/>
      <c r="Q74" s="317" t="str">
        <f>VLOOKUP(Q69,'Location Summary'!$C$2:$J$604,2,FALSE)</f>
        <v>DA+3</v>
      </c>
      <c r="R74" s="331"/>
      <c r="S74" s="317" t="str">
        <f>VLOOKUP(S69,'Location Summary'!$C$2:$J$604,2,FALSE)</f>
        <v>DA+0</v>
      </c>
      <c r="T74" s="345"/>
      <c r="U74" s="317" t="str">
        <f>VLOOKUP(U69,'Location Summary'!$C$2:$J$604,2,FALSE)</f>
        <v>DB1+0</v>
      </c>
      <c r="V74" s="345"/>
      <c r="W74" s="317" t="str">
        <f>VLOOKUP(W69,'Location Summary'!$C$2:$J$604,2,FALSE)</f>
        <v>DA+6</v>
      </c>
      <c r="X74" s="345"/>
      <c r="Y74" s="317" t="str">
        <f>VLOOKUP(Y69,'Location Summary'!$C$2:$J$604,2,FALSE)</f>
        <v>DA+6</v>
      </c>
      <c r="Z74" s="345"/>
      <c r="AA74" s="317" t="str">
        <f>VLOOKUP(AA69,'Location Summary'!$C$2:$J$604,2,FALSE)</f>
        <v>DA+6</v>
      </c>
      <c r="AB74" s="345"/>
      <c r="AC74" s="317" t="str">
        <f>VLOOKUP(AC69,'Location Summary'!$C$2:$J$604,2,FALSE)</f>
        <v>DA+3</v>
      </c>
      <c r="AD74" s="345"/>
      <c r="AE74" s="317" t="str">
        <f>VLOOKUP(AE69,'Location Summary'!$C$2:$J$604,2,FALSE)</f>
        <v>DA+6</v>
      </c>
      <c r="AF74" s="345"/>
      <c r="AG74" s="317" t="str">
        <f>VLOOKUP(AG69,'Location Summary'!$C$2:$J$604,2,FALSE)</f>
        <v>DA+9</v>
      </c>
      <c r="AH74" s="345"/>
      <c r="AI74" s="317" t="str">
        <f>VLOOKUP(AI69,'Location Summary'!$C$2:$J$604,2,FALSE)</f>
        <v>DB1+0</v>
      </c>
      <c r="AJ74" s="345"/>
      <c r="AK74" s="317" t="str">
        <f>VLOOKUP(AK69,'Location Summary'!$C$2:$J$604,2,FALSE)</f>
        <v>DA+0</v>
      </c>
      <c r="AL74" s="345"/>
      <c r="AM74" s="317" t="str">
        <f>VLOOKUP(AM69,'Location Summary'!$C$2:$J$604,2,FALSE)</f>
        <v>DA+9</v>
      </c>
      <c r="AN74" s="345"/>
      <c r="AO74" s="317" t="str">
        <f>VLOOKUP(AO69,'Location Summary'!$C$2:$J$604,2,FALSE)</f>
        <v>DA+3</v>
      </c>
      <c r="AP74" s="345"/>
      <c r="AQ74" s="317" t="str">
        <f>VLOOKUP(AQ69,'Location Summary'!$C$2:$J$604,2,FALSE)</f>
        <v>DA+9</v>
      </c>
      <c r="AR74" s="313"/>
      <c r="AS74" s="317" t="str">
        <f>VLOOKUP(AS69,'Location Summary'!$C$2:$J$604,2,FALSE)</f>
        <v>DA+0</v>
      </c>
      <c r="AT74" s="329"/>
    </row>
    <row r="75" spans="2:72" ht="15" customHeight="1">
      <c r="B75" s="384"/>
      <c r="C75" s="317"/>
      <c r="D75" s="317"/>
      <c r="E75" s="317"/>
      <c r="F75" s="317"/>
      <c r="G75" s="1561" t="s">
        <v>690</v>
      </c>
      <c r="H75" s="1561"/>
      <c r="I75" s="1561"/>
      <c r="J75" s="317"/>
      <c r="K75" s="317"/>
      <c r="L75" s="317"/>
      <c r="M75" s="346"/>
      <c r="N75" s="317"/>
      <c r="O75" s="317"/>
      <c r="P75" s="317"/>
      <c r="Q75" s="317"/>
      <c r="R75" s="317"/>
      <c r="S75" s="317"/>
      <c r="T75" s="317"/>
      <c r="U75" s="317"/>
      <c r="W75" s="317"/>
      <c r="X75" s="317"/>
      <c r="Y75" s="317"/>
      <c r="Z75" s="317"/>
      <c r="AA75" s="346"/>
      <c r="AB75" s="317"/>
      <c r="AC75" s="317"/>
      <c r="AD75" s="317"/>
      <c r="AE75" s="317"/>
      <c r="AF75" s="317"/>
      <c r="AG75" s="317"/>
      <c r="AH75" s="317"/>
      <c r="AI75" s="317"/>
      <c r="AJ75" s="317"/>
      <c r="AK75" s="317"/>
      <c r="AL75" s="317"/>
      <c r="AM75" s="385"/>
      <c r="AN75" s="317"/>
      <c r="AO75" s="385"/>
      <c r="AP75" s="317"/>
      <c r="AQ75" s="317"/>
      <c r="AR75" s="317"/>
      <c r="AS75" s="346"/>
      <c r="AT75" s="329"/>
      <c r="AV75" s="354"/>
    </row>
    <row r="76" spans="2:72" ht="15" customHeight="1">
      <c r="B76" s="348"/>
      <c r="C76" s="346">
        <f>AS68+1</f>
        <v>170</v>
      </c>
      <c r="D76" s="327"/>
      <c r="E76" s="346">
        <f>C76+1</f>
        <v>171</v>
      </c>
      <c r="F76" s="346"/>
      <c r="G76" s="346">
        <f>E76+1</f>
        <v>172</v>
      </c>
      <c r="H76" s="346"/>
      <c r="I76" s="346">
        <f>G76+1</f>
        <v>173</v>
      </c>
      <c r="J76" s="346"/>
      <c r="K76" s="346">
        <f>I76+1</f>
        <v>174</v>
      </c>
      <c r="L76" s="346"/>
      <c r="M76" s="346">
        <f>K76+1</f>
        <v>175</v>
      </c>
      <c r="N76" s="346"/>
      <c r="O76" s="346">
        <f>M76+1</f>
        <v>176</v>
      </c>
      <c r="P76" s="346"/>
      <c r="Q76" s="346">
        <f>O76+1</f>
        <v>177</v>
      </c>
      <c r="R76" s="346"/>
      <c r="S76" s="346">
        <f>Q76+1</f>
        <v>178</v>
      </c>
      <c r="T76" s="346"/>
      <c r="U76" s="346">
        <f>S76+1</f>
        <v>179</v>
      </c>
      <c r="V76" s="346"/>
      <c r="W76" s="346">
        <f>U76+1</f>
        <v>180</v>
      </c>
      <c r="X76" s="346"/>
      <c r="Y76" s="346">
        <f>W76+1</f>
        <v>181</v>
      </c>
      <c r="Z76" s="346"/>
      <c r="AA76" s="346">
        <f>Y76+1</f>
        <v>182</v>
      </c>
      <c r="AB76" s="346"/>
      <c r="AC76" s="346">
        <f>AA76+1</f>
        <v>183</v>
      </c>
      <c r="AD76" s="346"/>
      <c r="AE76" s="346">
        <f>AC76+1</f>
        <v>184</v>
      </c>
      <c r="AF76" s="346"/>
      <c r="AG76" s="346">
        <f>AE76+1</f>
        <v>185</v>
      </c>
      <c r="AH76" s="346"/>
      <c r="AI76" s="346">
        <f>AG76+1</f>
        <v>186</v>
      </c>
      <c r="AJ76" s="346"/>
      <c r="AK76" s="346">
        <f>AI76+1</f>
        <v>187</v>
      </c>
      <c r="AL76" s="346"/>
      <c r="AM76" s="346">
        <f>AK76+1</f>
        <v>188</v>
      </c>
      <c r="AO76" s="346">
        <f>AM76+1</f>
        <v>189</v>
      </c>
      <c r="AP76" s="346"/>
      <c r="AQ76" s="346">
        <f>AO76+1</f>
        <v>190</v>
      </c>
      <c r="AR76" s="346"/>
      <c r="AS76" s="346">
        <f>AQ76+1</f>
        <v>191</v>
      </c>
      <c r="AT76" s="329"/>
    </row>
    <row r="77" spans="2:72" s="351" customFormat="1" ht="15" customHeight="1">
      <c r="B77" s="365"/>
      <c r="C77" s="359" t="s">
        <v>441</v>
      </c>
      <c r="D77" s="359"/>
      <c r="E77" s="359" t="s">
        <v>442</v>
      </c>
      <c r="F77" s="359"/>
      <c r="G77" s="359" t="s">
        <v>443</v>
      </c>
      <c r="H77" s="359"/>
      <c r="I77" s="359" t="s">
        <v>444</v>
      </c>
      <c r="J77" s="359"/>
      <c r="K77" s="359" t="s">
        <v>445</v>
      </c>
      <c r="L77" s="359"/>
      <c r="M77" s="359" t="s">
        <v>9</v>
      </c>
      <c r="N77" s="359"/>
      <c r="O77" s="359" t="s">
        <v>82</v>
      </c>
      <c r="P77" s="359"/>
      <c r="Q77" s="359" t="s">
        <v>163</v>
      </c>
      <c r="R77" s="359"/>
      <c r="S77" s="359" t="s">
        <v>164</v>
      </c>
      <c r="T77" s="359"/>
      <c r="U77" s="359" t="s">
        <v>446</v>
      </c>
      <c r="V77" s="359"/>
      <c r="W77" s="359" t="s">
        <v>447</v>
      </c>
      <c r="X77" s="359"/>
      <c r="Y77" s="359" t="s">
        <v>448</v>
      </c>
      <c r="Z77" s="359"/>
      <c r="AA77" s="359" t="s">
        <v>449</v>
      </c>
      <c r="AB77" s="359"/>
      <c r="AC77" s="359" t="s">
        <v>450</v>
      </c>
      <c r="AD77" s="359"/>
      <c r="AE77" s="359" t="s">
        <v>451</v>
      </c>
      <c r="AF77" s="359"/>
      <c r="AG77" s="359" t="s">
        <v>452</v>
      </c>
      <c r="AH77" s="359"/>
      <c r="AI77" s="359" t="s">
        <v>10</v>
      </c>
      <c r="AK77" s="357" t="s">
        <v>66</v>
      </c>
      <c r="AM77" s="332" t="s">
        <v>165</v>
      </c>
      <c r="AO77" s="351" t="s">
        <v>875</v>
      </c>
      <c r="AQ77" s="351" t="s">
        <v>876</v>
      </c>
      <c r="AS77" s="351" t="s">
        <v>877</v>
      </c>
      <c r="AT77" s="386"/>
    </row>
    <row r="78" spans="2:72" ht="15" customHeight="1">
      <c r="B78" s="355"/>
      <c r="T78" s="317"/>
      <c r="V78" s="317"/>
      <c r="X78" s="317"/>
      <c r="Z78" s="317"/>
      <c r="AB78" s="317"/>
      <c r="AD78" s="317"/>
      <c r="AF78" s="317"/>
      <c r="AH78" s="317"/>
      <c r="AJ78" s="317"/>
      <c r="AL78" s="317"/>
      <c r="AN78" s="351"/>
      <c r="AP78" s="317"/>
      <c r="AR78" s="317"/>
      <c r="AT78" s="329"/>
    </row>
    <row r="79" spans="2:72" ht="15" customHeight="1">
      <c r="B79" s="361"/>
      <c r="AT79" s="329"/>
    </row>
    <row r="80" spans="2:72" s="370" customFormat="1" ht="20.25" customHeight="1">
      <c r="B80" s="361"/>
      <c r="C80" s="339">
        <v>3</v>
      </c>
      <c r="D80" s="340">
        <f>VLOOKUP(C77,'Location Summary'!$G$2:$H$604,2,FALSE)</f>
        <v>335</v>
      </c>
      <c r="E80" s="339">
        <v>3</v>
      </c>
      <c r="F80" s="340">
        <f>VLOOKUP(E77,'Location Summary'!$G$2:$H$604,2,FALSE)</f>
        <v>395</v>
      </c>
      <c r="G80" s="339">
        <v>3</v>
      </c>
      <c r="H80" s="340">
        <f>VLOOKUP(G77,'Location Summary'!$G$2:$H$604,2,FALSE)</f>
        <v>390</v>
      </c>
      <c r="I80" s="339">
        <v>3</v>
      </c>
      <c r="J80" s="340">
        <f>VLOOKUP(I77,'Location Summary'!$G$2:$H$604,2,FALSE)</f>
        <v>350</v>
      </c>
      <c r="K80" s="339">
        <v>3</v>
      </c>
      <c r="L80" s="340">
        <f>VLOOKUP(K77,'Location Summary'!$G$2:$H$604,2,FALSE)</f>
        <v>428.23899999999998</v>
      </c>
      <c r="M80" s="339">
        <v>3</v>
      </c>
      <c r="N80" s="340">
        <f>VLOOKUP(M77,'Location Summary'!$G$2:$H$604,2,FALSE)</f>
        <v>376.76100000000002</v>
      </c>
      <c r="O80" s="339">
        <v>3</v>
      </c>
      <c r="P80" s="340">
        <f>VLOOKUP(O77,'Location Summary'!$G$2:$H$604,2,FALSE)</f>
        <v>410</v>
      </c>
      <c r="Q80" s="339">
        <v>3</v>
      </c>
      <c r="R80" s="340">
        <f>VLOOKUP(Q77,'Location Summary'!$G$2:$H$604,2,FALSE)</f>
        <v>430</v>
      </c>
      <c r="S80" s="339">
        <v>3</v>
      </c>
      <c r="T80" s="340">
        <f>VLOOKUP(S77,'Location Summary'!$G$2:$H$604,2,FALSE)</f>
        <v>380</v>
      </c>
      <c r="U80" s="339">
        <v>3</v>
      </c>
      <c r="V80" s="340">
        <f>VLOOKUP(U77,'Location Summary'!$G$2:$H$604,2,FALSE)</f>
        <v>445</v>
      </c>
      <c r="W80" s="339">
        <v>3</v>
      </c>
      <c r="X80" s="340">
        <f>VLOOKUP(W77,'Location Summary'!$G$2:$H$604,2,FALSE)</f>
        <v>385</v>
      </c>
      <c r="Y80" s="339">
        <v>3</v>
      </c>
      <c r="Z80" s="340">
        <f>VLOOKUP(Y77,'Location Summary'!$G$2:$H$604,2,FALSE)</f>
        <v>420</v>
      </c>
      <c r="AA80" s="339">
        <v>3</v>
      </c>
      <c r="AB80" s="340">
        <f>VLOOKUP(AA77,'Location Summary'!$G$2:$H$604,2,FALSE)</f>
        <v>415</v>
      </c>
      <c r="AC80" s="339">
        <v>3</v>
      </c>
      <c r="AD80" s="340">
        <f>VLOOKUP(AC77,'Location Summary'!$G$2:$H$604,2,FALSE)</f>
        <v>310</v>
      </c>
      <c r="AE80" s="339">
        <v>3</v>
      </c>
      <c r="AF80" s="340">
        <f>VLOOKUP(AE77,'Location Summary'!$G$2:$H$604,2,FALSE)</f>
        <v>445</v>
      </c>
      <c r="AG80" s="339">
        <v>3</v>
      </c>
      <c r="AH80" s="340">
        <f>VLOOKUP(AG77,'Location Summary'!$G$2:$H$604,2,FALSE)</f>
        <v>316.608</v>
      </c>
      <c r="AI80" s="339">
        <v>3</v>
      </c>
      <c r="AJ80" s="340">
        <f>VLOOKUP(AI77,'Location Summary'!$G$2:$H$604,2,FALSE)</f>
        <v>385.51</v>
      </c>
      <c r="AK80" s="339">
        <v>3</v>
      </c>
      <c r="AL80" s="340">
        <f>VLOOKUP(AK77,'Location Summary'!$G$2:$H$604,2,FALSE)</f>
        <v>410</v>
      </c>
      <c r="AM80" s="339">
        <v>3</v>
      </c>
      <c r="AN80" s="340">
        <f>VLOOKUP(AM77,'Location Summary'!$G$2:$H$604,2,FALSE)</f>
        <v>390</v>
      </c>
      <c r="AO80" s="339">
        <v>3</v>
      </c>
      <c r="AP80" s="340">
        <f>VLOOKUP(AO77,'Location Summary'!$G$2:$H$604,2,FALSE)</f>
        <v>450</v>
      </c>
      <c r="AQ80" s="339">
        <v>3</v>
      </c>
      <c r="AR80" s="340">
        <f>VLOOKUP(AQ77,'Location Summary'!$G$2:$H$604,2,FALSE)</f>
        <v>370</v>
      </c>
      <c r="AS80" s="339">
        <v>3</v>
      </c>
      <c r="AT80" s="341">
        <f>VLOOKUP(AS77,'Location Summary'!$G$2:$H$604,2,FALSE)</f>
        <v>439</v>
      </c>
    </row>
    <row r="81" spans="2:48" s="370" customFormat="1" ht="15" customHeight="1">
      <c r="B81" s="367"/>
      <c r="C81" s="344">
        <v>2</v>
      </c>
      <c r="D81" s="313"/>
      <c r="E81" s="344">
        <v>2</v>
      </c>
      <c r="F81" s="313"/>
      <c r="G81" s="344">
        <v>2</v>
      </c>
      <c r="H81" s="313"/>
      <c r="I81" s="344">
        <v>2</v>
      </c>
      <c r="J81" s="313"/>
      <c r="K81" s="344">
        <v>2</v>
      </c>
      <c r="L81" s="313"/>
      <c r="M81" s="344">
        <v>2</v>
      </c>
      <c r="N81" s="313"/>
      <c r="O81" s="344">
        <v>2</v>
      </c>
      <c r="P81" s="313"/>
      <c r="Q81" s="344">
        <v>2</v>
      </c>
      <c r="R81" s="313"/>
      <c r="S81" s="344">
        <v>2</v>
      </c>
      <c r="T81" s="313"/>
      <c r="U81" s="364">
        <v>2</v>
      </c>
      <c r="V81" s="313"/>
      <c r="W81" s="344">
        <v>2</v>
      </c>
      <c r="X81" s="313"/>
      <c r="Y81" s="344">
        <v>2</v>
      </c>
      <c r="Z81" s="313"/>
      <c r="AA81" s="344">
        <v>2</v>
      </c>
      <c r="AB81" s="313"/>
      <c r="AC81" s="344">
        <v>2</v>
      </c>
      <c r="AD81" s="313"/>
      <c r="AE81" s="344">
        <v>2</v>
      </c>
      <c r="AF81" s="313"/>
      <c r="AG81" s="344">
        <v>2</v>
      </c>
      <c r="AH81" s="313"/>
      <c r="AI81" s="344">
        <v>2</v>
      </c>
      <c r="AJ81" s="313"/>
      <c r="AK81" s="344">
        <v>2</v>
      </c>
      <c r="AL81" s="313"/>
      <c r="AM81" s="344">
        <v>2</v>
      </c>
      <c r="AN81" s="313"/>
      <c r="AO81" s="344">
        <v>2</v>
      </c>
      <c r="AP81" s="313"/>
      <c r="AQ81" s="344">
        <v>2</v>
      </c>
      <c r="AR81" s="313"/>
      <c r="AS81" s="344">
        <v>2</v>
      </c>
      <c r="AT81" s="329"/>
    </row>
    <row r="82" spans="2:48" ht="15" customHeight="1">
      <c r="B82" s="355"/>
      <c r="C82" s="317" t="str">
        <f>VLOOKUP(C77,'Location Summary'!$C$2:$J$604,2,FALSE)</f>
        <v>DA+6</v>
      </c>
      <c r="D82" s="331"/>
      <c r="E82" s="317" t="str">
        <f>VLOOKUP(E77,'Location Summary'!$C$2:$J$604,2,FALSE)</f>
        <v>DA-3</v>
      </c>
      <c r="F82" s="331"/>
      <c r="G82" s="317" t="str">
        <f>VLOOKUP(G77,'Location Summary'!$C$2:$J$604,2,FALSE)</f>
        <v>DA+3</v>
      </c>
      <c r="H82" s="331"/>
      <c r="I82" s="317" t="str">
        <f>VLOOKUP(I77,'Location Summary'!$C$2:$J$604,2,FALSE)</f>
        <v>DA-3</v>
      </c>
      <c r="J82" s="331"/>
      <c r="K82" s="317" t="str">
        <f>VLOOKUP(K77,'Location Summary'!$C$2:$J$604,2,FALSE)</f>
        <v>DA+3</v>
      </c>
      <c r="L82" s="331"/>
      <c r="M82" s="317" t="str">
        <f>VLOOKUP(M77,'Location Summary'!$C$2:$J$604,2,FALSE)</f>
        <v>DB1+0</v>
      </c>
      <c r="N82" s="331"/>
      <c r="O82" s="317" t="str">
        <f>VLOOKUP(O77,'Location Summary'!$C$2:$J$604,2,FALSE)</f>
        <v>DA+3</v>
      </c>
      <c r="P82" s="331"/>
      <c r="Q82" s="317" t="str">
        <f>VLOOKUP(Q77,'Location Summary'!$C$2:$J$604,2,FALSE)</f>
        <v>DA+1.5</v>
      </c>
      <c r="R82" s="331"/>
      <c r="S82" s="317" t="str">
        <f>VLOOKUP(S77,'Location Summary'!$C$2:$J$604,2,FALSE)</f>
        <v>DA+3</v>
      </c>
      <c r="T82" s="345"/>
      <c r="U82" s="317" t="str">
        <f>VLOOKUP(U77,'Location Summary'!$C$2:$J$604,2,FALSE)</f>
        <v>DA-1.5</v>
      </c>
      <c r="V82" s="345"/>
      <c r="W82" s="317" t="str">
        <f>VLOOKUP(W77,'Location Summary'!$C$2:$J$604,2,FALSE)</f>
        <v>DA+6</v>
      </c>
      <c r="X82" s="345"/>
      <c r="Y82" s="317" t="str">
        <f>VLOOKUP(Y77,'Location Summary'!$C$2:$J$604,2,FALSE)</f>
        <v>DA+9</v>
      </c>
      <c r="Z82" s="345"/>
      <c r="AA82" s="317" t="str">
        <f>VLOOKUP(AA77,'Location Summary'!$C$2:$J$604,2,FALSE)</f>
        <v>DA+0</v>
      </c>
      <c r="AB82" s="345"/>
      <c r="AC82" s="317" t="str">
        <f>VLOOKUP(AC77,'Location Summary'!$C$2:$J$604,2,FALSE)</f>
        <v>DA+0</v>
      </c>
      <c r="AD82" s="345"/>
      <c r="AE82" s="317" t="str">
        <f>VLOOKUP(AE77,'Location Summary'!$C$2:$J$604,2,FALSE)</f>
        <v>DA+1.5</v>
      </c>
      <c r="AF82" s="345"/>
      <c r="AG82" s="317" t="str">
        <f>VLOOKUP(AG77,'Location Summary'!$C$2:$J$604,2,FALSE)</f>
        <v>DA+4.5</v>
      </c>
      <c r="AH82" s="345"/>
      <c r="AI82" s="317" t="str">
        <f>VLOOKUP(AI77,'Location Summary'!$C$2:$J$604,2,FALSE)</f>
        <v>DB2+0</v>
      </c>
      <c r="AJ82" s="345"/>
      <c r="AK82" s="317" t="str">
        <f>VLOOKUP(AK77,'Location Summary'!$C$2:$J$604,2,FALSE)</f>
        <v>DA+6</v>
      </c>
      <c r="AL82" s="345"/>
      <c r="AM82" s="317" t="str">
        <f>VLOOKUP(AM77,'Location Summary'!$C$2:$J$604,2,FALSE)</f>
        <v>DA+9</v>
      </c>
      <c r="AN82" s="345"/>
      <c r="AO82" s="317" t="str">
        <f>VLOOKUP(AO77,'Location Summary'!$C$2:$J$604,2,FALSE)</f>
        <v>DA+6</v>
      </c>
      <c r="AP82" s="345"/>
      <c r="AQ82" s="317" t="str">
        <f>VLOOKUP(AQ77,'Location Summary'!$C$2:$J$604,2,FALSE)</f>
        <v>DA+9</v>
      </c>
      <c r="AS82" s="317" t="str">
        <f>VLOOKUP(AS77,'Location Summary'!$C$2:$J$604,2,FALSE)</f>
        <v>DA+9</v>
      </c>
      <c r="AT82" s="329"/>
    </row>
    <row r="83" spans="2:48" ht="15" customHeight="1">
      <c r="B83" s="348"/>
      <c r="C83" s="317"/>
      <c r="D83" s="317"/>
      <c r="E83" s="317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46"/>
      <c r="X83" s="317"/>
      <c r="Y83" s="317"/>
      <c r="Z83" s="317"/>
      <c r="AA83" s="317"/>
      <c r="AB83" s="317"/>
      <c r="AC83" s="317"/>
      <c r="AD83" s="317"/>
      <c r="AE83" s="317"/>
      <c r="AF83" s="317"/>
      <c r="AG83" s="317"/>
      <c r="AH83" s="317"/>
      <c r="AI83" s="317"/>
      <c r="AJ83" s="317"/>
      <c r="AK83" s="317"/>
      <c r="AL83" s="317"/>
      <c r="AM83" s="346"/>
      <c r="AN83" s="317"/>
      <c r="AO83" s="385"/>
      <c r="AP83" s="317"/>
      <c r="AQ83" s="317"/>
      <c r="AR83" s="603"/>
      <c r="AS83" s="620" t="s">
        <v>1168</v>
      </c>
      <c r="AT83" s="641"/>
      <c r="AV83" s="354"/>
    </row>
    <row r="84" spans="2:48" ht="15" customHeight="1">
      <c r="B84" s="348"/>
      <c r="C84" s="346">
        <f>AS76+1</f>
        <v>192</v>
      </c>
      <c r="D84" s="327"/>
      <c r="E84" s="346">
        <f>C84+1</f>
        <v>193</v>
      </c>
      <c r="F84" s="346"/>
      <c r="G84" s="346">
        <f>E84+1</f>
        <v>194</v>
      </c>
      <c r="H84" s="346"/>
      <c r="I84" s="346">
        <f>G84+1</f>
        <v>195</v>
      </c>
      <c r="J84" s="346"/>
      <c r="K84" s="346">
        <f>I84+1</f>
        <v>196</v>
      </c>
      <c r="L84" s="346"/>
      <c r="M84" s="346">
        <f>K84+1</f>
        <v>197</v>
      </c>
      <c r="N84" s="346"/>
      <c r="O84" s="346">
        <f>M84+1</f>
        <v>198</v>
      </c>
      <c r="P84" s="346"/>
      <c r="Q84" s="346">
        <f>O84+1</f>
        <v>199</v>
      </c>
      <c r="R84" s="346"/>
      <c r="S84" s="346">
        <f>Q84+1</f>
        <v>200</v>
      </c>
      <c r="T84" s="346"/>
      <c r="U84" s="346">
        <f>S84+1</f>
        <v>201</v>
      </c>
      <c r="W84" s="346">
        <f>U84+1</f>
        <v>202</v>
      </c>
      <c r="X84" s="346"/>
      <c r="Y84" s="346">
        <f>W84+1</f>
        <v>203</v>
      </c>
      <c r="Z84" s="346"/>
      <c r="AA84" s="346">
        <f>Y84+1</f>
        <v>204</v>
      </c>
      <c r="AB84" s="346"/>
      <c r="AC84" s="346">
        <f>AA84+1</f>
        <v>205</v>
      </c>
      <c r="AD84" s="346"/>
      <c r="AE84" s="346">
        <f>AC84+1</f>
        <v>206</v>
      </c>
      <c r="AF84" s="317"/>
      <c r="AG84" s="346">
        <f>AE84+1</f>
        <v>207</v>
      </c>
      <c r="AH84" s="346"/>
      <c r="AI84" s="346">
        <f>AG84+1</f>
        <v>208</v>
      </c>
      <c r="AJ84" s="346"/>
      <c r="AK84" s="346">
        <f>AI84+1</f>
        <v>209</v>
      </c>
      <c r="AL84" s="346"/>
      <c r="AM84" s="346">
        <f>AK84+1</f>
        <v>210</v>
      </c>
      <c r="AO84" s="346">
        <f>AM84+1</f>
        <v>211</v>
      </c>
      <c r="AP84" s="346"/>
      <c r="AQ84" s="346">
        <f>AO84+1</f>
        <v>212</v>
      </c>
      <c r="AR84" s="346"/>
      <c r="AS84" s="346">
        <f>AQ84+1</f>
        <v>213</v>
      </c>
      <c r="AT84" s="329"/>
    </row>
    <row r="85" spans="2:48" s="351" customFormat="1" ht="15" customHeight="1">
      <c r="B85" s="365"/>
      <c r="C85" s="351" t="s">
        <v>878</v>
      </c>
      <c r="E85" s="351" t="s">
        <v>879</v>
      </c>
      <c r="G85" s="351" t="s">
        <v>775</v>
      </c>
      <c r="I85" s="351" t="s">
        <v>776</v>
      </c>
      <c r="K85" s="351" t="s">
        <v>67</v>
      </c>
      <c r="M85" s="351" t="s">
        <v>68</v>
      </c>
      <c r="O85" s="351" t="s">
        <v>69</v>
      </c>
      <c r="Q85" s="351" t="s">
        <v>70</v>
      </c>
      <c r="S85" s="351" t="s">
        <v>187</v>
      </c>
      <c r="U85" s="351" t="s">
        <v>571</v>
      </c>
      <c r="W85" s="351" t="s">
        <v>572</v>
      </c>
      <c r="Y85" s="351" t="s">
        <v>573</v>
      </c>
      <c r="AA85" s="351" t="s">
        <v>574</v>
      </c>
      <c r="AC85" s="351" t="s">
        <v>575</v>
      </c>
      <c r="AE85" s="351" t="s">
        <v>166</v>
      </c>
      <c r="AG85" s="351" t="s">
        <v>577</v>
      </c>
      <c r="AI85" s="351" t="s">
        <v>578</v>
      </c>
      <c r="AJ85" s="317"/>
      <c r="AK85" s="351" t="s">
        <v>579</v>
      </c>
      <c r="AM85" s="351" t="s">
        <v>580</v>
      </c>
      <c r="AO85" s="351" t="s">
        <v>581</v>
      </c>
      <c r="AQ85" s="351" t="s">
        <v>582</v>
      </c>
      <c r="AS85" s="351" t="s">
        <v>583</v>
      </c>
      <c r="AT85" s="1286"/>
    </row>
    <row r="86" spans="2:48" ht="15" customHeight="1">
      <c r="B86" s="355"/>
      <c r="T86" s="317"/>
      <c r="V86" s="317"/>
      <c r="X86" s="317"/>
      <c r="Z86" s="317"/>
      <c r="AB86" s="317"/>
      <c r="AD86" s="317"/>
      <c r="AH86" s="317"/>
      <c r="AJ86" s="346"/>
      <c r="AL86" s="317"/>
      <c r="AN86" s="317"/>
      <c r="AP86" s="317"/>
      <c r="AR86" s="317"/>
      <c r="AT86" s="1286"/>
    </row>
    <row r="87" spans="2:48" ht="15" customHeight="1">
      <c r="B87" s="361"/>
      <c r="AT87" s="329"/>
    </row>
    <row r="88" spans="2:48" s="370" customFormat="1" ht="20.25" customHeight="1">
      <c r="B88" s="361"/>
      <c r="C88" s="339">
        <v>3</v>
      </c>
      <c r="D88" s="340">
        <f>VLOOKUP(C85,'Location Summary'!$G$2:$H$604,2,FALSE)</f>
        <v>360</v>
      </c>
      <c r="E88" s="339">
        <v>3</v>
      </c>
      <c r="F88" s="340">
        <f>VLOOKUP(E85,'Location Summary'!$G$2:$H$604,2,FALSE)</f>
        <v>479</v>
      </c>
      <c r="G88" s="339">
        <v>3</v>
      </c>
      <c r="H88" s="340">
        <f>VLOOKUP(G85,'Location Summary'!$G$2:$H$604,2,FALSE)</f>
        <v>402</v>
      </c>
      <c r="I88" s="737">
        <v>3</v>
      </c>
      <c r="J88" s="340">
        <f>VLOOKUP(I85,'Location Summary'!$G$2:$H$604,2,FALSE)</f>
        <v>438.43900000000002</v>
      </c>
      <c r="K88" s="339">
        <v>3</v>
      </c>
      <c r="L88" s="387">
        <f>VLOOKUP(K85,'Location Summary'!$G$2:$H$604,2,FALSE)</f>
        <v>430.56</v>
      </c>
      <c r="M88" s="339">
        <v>3</v>
      </c>
      <c r="N88" s="387">
        <f>VLOOKUP(M85,'Location Summary'!$G$2:$H$604,2,FALSE)</f>
        <v>406</v>
      </c>
      <c r="O88" s="339">
        <v>3</v>
      </c>
      <c r="P88" s="340">
        <f>VLOOKUP(O85,'Location Summary'!$G$2:$H$604,2,FALSE)</f>
        <v>435</v>
      </c>
      <c r="Q88" s="339">
        <v>3</v>
      </c>
      <c r="R88" s="340">
        <f>VLOOKUP(Q85,'Location Summary'!$G$2:$H$604,2,FALSE)</f>
        <v>405</v>
      </c>
      <c r="S88" s="339">
        <v>3</v>
      </c>
      <c r="T88" s="340">
        <f>VLOOKUP(S85,'Location Summary'!$G$2:$H$604,2,FALSE)</f>
        <v>420</v>
      </c>
      <c r="U88" s="339">
        <v>3</v>
      </c>
      <c r="V88" s="340">
        <f>VLOOKUP(U85,'Location Summary'!$G$2:$H$604,2,FALSE)</f>
        <v>405</v>
      </c>
      <c r="W88" s="339">
        <v>3</v>
      </c>
      <c r="X88" s="340">
        <f>VLOOKUP(W85,'Location Summary'!$G$2:$H$604,2,FALSE)</f>
        <v>415</v>
      </c>
      <c r="Y88" s="339">
        <v>3</v>
      </c>
      <c r="Z88" s="340">
        <f>VLOOKUP(Y85,'Location Summary'!$G$2:$H$604,2,FALSE)</f>
        <v>355</v>
      </c>
      <c r="AA88" s="339">
        <v>3</v>
      </c>
      <c r="AB88" s="340">
        <f>VLOOKUP(AA85,'Location Summary'!$G$2:$H$604,2,FALSE)</f>
        <v>380</v>
      </c>
      <c r="AC88" s="339">
        <v>3</v>
      </c>
      <c r="AD88" s="340">
        <f>VLOOKUP(AC85,'Location Summary'!$G$2:$H$604,2,FALSE)</f>
        <v>398.20299999999997</v>
      </c>
      <c r="AE88" s="339">
        <v>3</v>
      </c>
      <c r="AF88" s="340">
        <f>VLOOKUP(AE85,'Location Summary'!$G$2:$H$604,2,FALSE)</f>
        <v>441.798</v>
      </c>
      <c r="AG88" s="339">
        <v>3</v>
      </c>
      <c r="AH88" s="340">
        <f>VLOOKUP(AG85,'Location Summary'!$G$2:$H$604,2,FALSE)</f>
        <v>395</v>
      </c>
      <c r="AI88" s="339">
        <v>3</v>
      </c>
      <c r="AJ88" s="340">
        <f>VLOOKUP(AI85,'Location Summary'!$G$2:$H$604,2,FALSE)</f>
        <v>375</v>
      </c>
      <c r="AK88" s="339">
        <v>3</v>
      </c>
      <c r="AL88" s="340">
        <f>VLOOKUP(AK85,'Location Summary'!$G$2:$H$604,2,FALSE)</f>
        <v>445</v>
      </c>
      <c r="AM88" s="339">
        <v>3</v>
      </c>
      <c r="AN88" s="340">
        <f>VLOOKUP(AM85,'Location Summary'!$G$2:$H$604,2,FALSE)</f>
        <v>395</v>
      </c>
      <c r="AO88" s="339">
        <v>3</v>
      </c>
      <c r="AP88" s="340">
        <f>VLOOKUP(AO85,'Location Summary'!$G$2:$H$604,2,FALSE)</f>
        <v>435</v>
      </c>
      <c r="AQ88" s="339">
        <v>3</v>
      </c>
      <c r="AR88" s="340">
        <f>VLOOKUP(AQ85,'Location Summary'!$G$2:$H$604,2,FALSE)</f>
        <v>330</v>
      </c>
      <c r="AS88" s="339">
        <v>3</v>
      </c>
      <c r="AT88" s="341">
        <f>VLOOKUP(AS85,'Location Summary'!$G$2:$H$604,2,FALSE)</f>
        <v>330</v>
      </c>
    </row>
    <row r="89" spans="2:48" s="370" customFormat="1" ht="15" customHeight="1">
      <c r="B89" s="367"/>
      <c r="C89" s="344">
        <v>2</v>
      </c>
      <c r="D89" s="313"/>
      <c r="E89" s="344">
        <v>2</v>
      </c>
      <c r="F89" s="313"/>
      <c r="G89" s="344">
        <v>2</v>
      </c>
      <c r="H89" s="313"/>
      <c r="I89" s="364">
        <v>2</v>
      </c>
      <c r="J89" s="313"/>
      <c r="K89" s="344">
        <v>2</v>
      </c>
      <c r="L89" s="313"/>
      <c r="M89" s="344">
        <v>2</v>
      </c>
      <c r="N89" s="313"/>
      <c r="O89" s="344">
        <v>2</v>
      </c>
      <c r="P89" s="313"/>
      <c r="Q89" s="344">
        <v>2</v>
      </c>
      <c r="R89" s="313"/>
      <c r="S89" s="344">
        <v>2</v>
      </c>
      <c r="T89" s="313"/>
      <c r="U89" s="344">
        <v>2</v>
      </c>
      <c r="V89" s="313"/>
      <c r="W89" s="344">
        <v>2</v>
      </c>
      <c r="X89" s="313"/>
      <c r="Y89" s="344">
        <v>2</v>
      </c>
      <c r="Z89" s="313"/>
      <c r="AA89" s="344">
        <v>2</v>
      </c>
      <c r="AB89" s="313"/>
      <c r="AC89" s="344">
        <v>2</v>
      </c>
      <c r="AD89" s="313"/>
      <c r="AE89" s="344">
        <v>2</v>
      </c>
      <c r="AF89" s="313"/>
      <c r="AG89" s="344">
        <v>2</v>
      </c>
      <c r="AH89" s="313"/>
      <c r="AI89" s="344">
        <v>2</v>
      </c>
      <c r="AJ89" s="313"/>
      <c r="AK89" s="344">
        <v>2</v>
      </c>
      <c r="AL89" s="313"/>
      <c r="AM89" s="344">
        <v>2</v>
      </c>
      <c r="AN89" s="313"/>
      <c r="AO89" s="344">
        <v>2</v>
      </c>
      <c r="AP89" s="313"/>
      <c r="AQ89" s="344">
        <v>2</v>
      </c>
      <c r="AR89" s="313"/>
      <c r="AS89" s="344">
        <v>2</v>
      </c>
      <c r="AT89" s="329"/>
    </row>
    <row r="90" spans="2:48" ht="15" customHeight="1">
      <c r="B90" s="355"/>
      <c r="C90" s="317" t="str">
        <f>VLOOKUP(C85,'Location Summary'!$C$2:$J$604,2,FALSE)</f>
        <v>DA+9</v>
      </c>
      <c r="D90" s="331"/>
      <c r="E90" s="317" t="str">
        <f>VLOOKUP(E85,'Location Summary'!$C$2:$J$604,2,FALSE)</f>
        <v>DA+3</v>
      </c>
      <c r="F90" s="331"/>
      <c r="G90" s="317" t="str">
        <f>VLOOKUP(G85,'Location Summary'!$C$2:$J$604,2,FALSE)</f>
        <v>DB1+9</v>
      </c>
      <c r="H90" s="1287"/>
      <c r="I90" s="317" t="str">
        <f>VLOOKUP(I85,'Location Summary'!$C$2:$J$604,2,FALSE)</f>
        <v>DA+6</v>
      </c>
      <c r="J90" s="331"/>
      <c r="K90" s="317" t="str">
        <f>VLOOKUP(K85,'Location Summary'!$C$2:$J$604,2,FALSE)</f>
        <v>DB1+9</v>
      </c>
      <c r="L90" s="331"/>
      <c r="M90" s="317" t="str">
        <f>VLOOKUP(M85,'Location Summary'!$C$2:$J$604,2,FALSE)</f>
        <v>DA+9</v>
      </c>
      <c r="N90" s="331"/>
      <c r="O90" s="317" t="str">
        <f>VLOOKUP(O85,'Location Summary'!$C$2:$J$604,2,FALSE)</f>
        <v>DA+9</v>
      </c>
      <c r="P90" s="331"/>
      <c r="Q90" s="317" t="str">
        <f>VLOOKUP(Q85,'Location Summary'!$C$2:$J$604,2,FALSE)</f>
        <v>DA+3</v>
      </c>
      <c r="R90" s="331"/>
      <c r="S90" s="317" t="str">
        <f>VLOOKUP(S85,'Location Summary'!$C$2:$J$604,2,FALSE)</f>
        <v>DA+3</v>
      </c>
      <c r="T90" s="345"/>
      <c r="U90" s="317" t="str">
        <f>VLOOKUP(U85,'Location Summary'!$C$2:$J$604,2,FALSE)</f>
        <v>DA+0</v>
      </c>
      <c r="V90" s="345"/>
      <c r="W90" s="317" t="str">
        <f>VLOOKUP(W85,'Location Summary'!$C$2:$J$604,2,FALSE)</f>
        <v>DA+6</v>
      </c>
      <c r="X90" s="345"/>
      <c r="Y90" s="317" t="str">
        <f>VLOOKUP(Y85,'Location Summary'!$C$2:$J$604,2,FALSE)</f>
        <v>DA+6</v>
      </c>
      <c r="Z90" s="345"/>
      <c r="AA90" s="317" t="str">
        <f>VLOOKUP(AA85,'Location Summary'!$C$2:$J$604,2,FALSE)</f>
        <v>DA+3</v>
      </c>
      <c r="AB90" s="345"/>
      <c r="AC90" s="317" t="str">
        <f>VLOOKUP(AC85,'Location Summary'!$C$2:$J$604,2,FALSE)</f>
        <v>DA+1.5</v>
      </c>
      <c r="AD90" s="345"/>
      <c r="AE90" s="317" t="str">
        <f>VLOOKUP(AE85,'Location Summary'!$C$2:$J$604,2,FALSE)</f>
        <v>DB1+6</v>
      </c>
      <c r="AF90" s="345"/>
      <c r="AG90" s="317" t="str">
        <f>VLOOKUP(AG85,'Location Summary'!$C$2:$J$604,2,FALSE)</f>
        <v>DA+9</v>
      </c>
      <c r="AH90" s="345"/>
      <c r="AI90" s="317" t="str">
        <f>VLOOKUP(AI85,'Location Summary'!$C$2:$J$604,2,FALSE)</f>
        <v>DA+9</v>
      </c>
      <c r="AJ90" s="345"/>
      <c r="AK90" s="317" t="str">
        <f>VLOOKUP(AK85,'Location Summary'!$C$2:$J$604,2,FALSE)</f>
        <v>DA+1.5</v>
      </c>
      <c r="AL90" s="345"/>
      <c r="AM90" s="317" t="str">
        <f>VLOOKUP(AM85,'Location Summary'!$C$2:$J$604,2,FALSE)</f>
        <v>DA+6</v>
      </c>
      <c r="AN90" s="345"/>
      <c r="AO90" s="317" t="str">
        <f>VLOOKUP(AO85,'Location Summary'!$C$2:$J$604,2,FALSE)</f>
        <v>DA+9</v>
      </c>
      <c r="AP90" s="345"/>
      <c r="AQ90" s="317" t="str">
        <f>VLOOKUP(AQ85,'Location Summary'!$C$2:$J$604,2,FALSE)</f>
        <v>DA+3</v>
      </c>
      <c r="AS90" s="317" t="str">
        <f>VLOOKUP(AS85,'Location Summary'!$C$2:$J$604,2,FALSE)</f>
        <v>DA+0</v>
      </c>
      <c r="AT90" s="329"/>
    </row>
    <row r="91" spans="2:48" ht="15" customHeight="1">
      <c r="B91" s="642"/>
      <c r="C91" s="620" t="s">
        <v>1168</v>
      </c>
      <c r="D91" s="603"/>
      <c r="E91" s="346"/>
      <c r="F91" s="317"/>
      <c r="G91" s="317"/>
      <c r="I91" s="317"/>
      <c r="J91" s="620"/>
      <c r="K91" s="620" t="s">
        <v>1168</v>
      </c>
      <c r="L91" s="620"/>
      <c r="M91" s="620" t="s">
        <v>1168</v>
      </c>
      <c r="N91" s="620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  <c r="AI91" s="317"/>
      <c r="AJ91" s="317"/>
      <c r="AK91" s="317"/>
      <c r="AL91" s="317"/>
      <c r="AM91" s="317"/>
      <c r="AN91" s="317"/>
      <c r="AO91" s="317"/>
      <c r="AP91" s="317"/>
      <c r="AQ91" s="317"/>
      <c r="AR91" s="317"/>
      <c r="AS91" s="317"/>
      <c r="AT91" s="329"/>
      <c r="AV91" s="354"/>
    </row>
    <row r="92" spans="2:48" ht="15" customHeight="1">
      <c r="B92" s="348"/>
      <c r="C92" s="346">
        <f>AS84+1</f>
        <v>214</v>
      </c>
      <c r="D92" s="313">
        <v>5</v>
      </c>
      <c r="E92" s="346">
        <f>C92+1</f>
        <v>215</v>
      </c>
      <c r="G92" s="346">
        <f>E92+1</f>
        <v>216</v>
      </c>
      <c r="I92" s="346">
        <f>G92+1</f>
        <v>217</v>
      </c>
      <c r="J92" s="346"/>
      <c r="K92" s="346">
        <f>I92+1</f>
        <v>218</v>
      </c>
      <c r="L92" s="346"/>
      <c r="M92" s="346">
        <f>K92+1</f>
        <v>219</v>
      </c>
      <c r="N92" s="346"/>
      <c r="O92" s="346">
        <f>M92+1</f>
        <v>220</v>
      </c>
      <c r="P92" s="346"/>
      <c r="Q92" s="346">
        <f>O92+1</f>
        <v>221</v>
      </c>
      <c r="R92" s="346"/>
      <c r="S92" s="346">
        <f>Q92+1</f>
        <v>222</v>
      </c>
      <c r="T92" s="346"/>
      <c r="U92" s="346">
        <f>S92+1</f>
        <v>223</v>
      </c>
      <c r="V92" s="346"/>
      <c r="W92" s="346">
        <f>U92+1</f>
        <v>224</v>
      </c>
      <c r="X92" s="346"/>
      <c r="Y92" s="346">
        <f>W92+1</f>
        <v>225</v>
      </c>
      <c r="Z92" s="346"/>
      <c r="AA92" s="346">
        <f>Y92+1</f>
        <v>226</v>
      </c>
      <c r="AB92" s="346"/>
      <c r="AC92" s="346">
        <f>AA92+1</f>
        <v>227</v>
      </c>
      <c r="AD92" s="346"/>
      <c r="AE92" s="346">
        <f>AC92+1</f>
        <v>228</v>
      </c>
      <c r="AF92" s="346"/>
      <c r="AG92" s="346">
        <f>AE92+1</f>
        <v>229</v>
      </c>
      <c r="AH92" s="346"/>
      <c r="AI92" s="346">
        <f>AG92+1</f>
        <v>230</v>
      </c>
      <c r="AJ92" s="346"/>
      <c r="AK92" s="346">
        <f>AI92+1</f>
        <v>231</v>
      </c>
      <c r="AL92" s="346"/>
      <c r="AM92" s="346">
        <f>AK92+1</f>
        <v>232</v>
      </c>
      <c r="AO92" s="346">
        <f>AM92+1</f>
        <v>233</v>
      </c>
      <c r="AP92" s="346"/>
      <c r="AQ92" s="346">
        <f>AO92+1</f>
        <v>234</v>
      </c>
      <c r="AR92" s="346"/>
      <c r="AS92" s="346">
        <f>AQ92+1</f>
        <v>235</v>
      </c>
      <c r="AT92" s="329"/>
    </row>
    <row r="93" spans="2:48" s="351" customFormat="1" ht="15" customHeight="1">
      <c r="B93" s="365"/>
      <c r="C93" s="351" t="s">
        <v>584</v>
      </c>
      <c r="E93" s="351" t="s">
        <v>585</v>
      </c>
      <c r="G93" s="351" t="s">
        <v>586</v>
      </c>
      <c r="I93" s="351" t="s">
        <v>587</v>
      </c>
      <c r="K93" s="351" t="s">
        <v>588</v>
      </c>
      <c r="M93" s="351" t="s">
        <v>71</v>
      </c>
      <c r="O93" s="351" t="s">
        <v>590</v>
      </c>
      <c r="Q93" s="351" t="s">
        <v>591</v>
      </c>
      <c r="S93" s="351" t="s">
        <v>592</v>
      </c>
      <c r="U93" s="351" t="s">
        <v>593</v>
      </c>
      <c r="W93" s="351" t="s">
        <v>594</v>
      </c>
      <c r="Y93" s="351" t="s">
        <v>595</v>
      </c>
      <c r="AA93" s="351" t="s">
        <v>596</v>
      </c>
      <c r="AC93" s="351" t="s">
        <v>597</v>
      </c>
      <c r="AE93" s="351" t="s">
        <v>598</v>
      </c>
      <c r="AG93" s="351" t="s">
        <v>599</v>
      </c>
      <c r="AI93" s="351" t="s">
        <v>600</v>
      </c>
      <c r="AK93" s="351" t="s">
        <v>8</v>
      </c>
      <c r="AM93" s="351" t="s">
        <v>1071</v>
      </c>
      <c r="AO93" s="351" t="s">
        <v>1072</v>
      </c>
      <c r="AQ93" s="351" t="s">
        <v>1787</v>
      </c>
      <c r="AS93" s="351" t="s">
        <v>1788</v>
      </c>
      <c r="AT93" s="329"/>
    </row>
    <row r="94" spans="2:48" ht="15" customHeight="1">
      <c r="B94" s="355"/>
      <c r="J94" s="351"/>
      <c r="T94" s="317"/>
      <c r="V94" s="317"/>
      <c r="X94" s="317"/>
      <c r="Z94" s="317"/>
      <c r="AB94" s="317"/>
      <c r="AD94" s="317"/>
      <c r="AF94" s="317"/>
      <c r="AH94" s="317"/>
      <c r="AJ94" s="317"/>
      <c r="AL94" s="317"/>
      <c r="AN94" s="317"/>
      <c r="AP94" s="317"/>
      <c r="AR94" s="317"/>
      <c r="AT94" s="329"/>
    </row>
    <row r="95" spans="2:48" ht="15" customHeight="1">
      <c r="B95" s="361"/>
      <c r="AT95" s="329"/>
    </row>
    <row r="96" spans="2:48" s="370" customFormat="1" ht="20.25" customHeight="1">
      <c r="B96" s="361"/>
      <c r="C96" s="339">
        <v>3</v>
      </c>
      <c r="D96" s="340">
        <f>VLOOKUP(C93,'Location Summary'!$G$2:$H$604,2,FALSE)</f>
        <v>400</v>
      </c>
      <c r="E96" s="339">
        <v>3</v>
      </c>
      <c r="F96" s="340">
        <f>VLOOKUP(E93,'Location Summary'!$G$2:$H$604,2,FALSE)</f>
        <v>310</v>
      </c>
      <c r="G96" s="339">
        <v>3</v>
      </c>
      <c r="H96" s="340">
        <f>VLOOKUP(G93,'Location Summary'!$G$2:$H$604,2,FALSE)</f>
        <v>325</v>
      </c>
      <c r="I96" s="339">
        <v>3</v>
      </c>
      <c r="J96" s="340">
        <f>VLOOKUP(I93,'Location Summary'!$G$2:$H$604,2,FALSE)</f>
        <v>365</v>
      </c>
      <c r="K96" s="339">
        <v>3</v>
      </c>
      <c r="L96" s="340">
        <f>VLOOKUP(K93,'Location Summary'!$G$2:$H$604,2,FALSE)</f>
        <v>351.79</v>
      </c>
      <c r="M96" s="339">
        <v>3</v>
      </c>
      <c r="N96" s="340">
        <f>VLOOKUP(M93,'Location Summary'!$G$2:$H$604,2,FALSE)</f>
        <v>393.209</v>
      </c>
      <c r="O96" s="339">
        <v>3</v>
      </c>
      <c r="P96" s="340">
        <f>VLOOKUP(O93,'Location Summary'!$G$2:$H$604,2,FALSE)</f>
        <v>435</v>
      </c>
      <c r="Q96" s="662">
        <v>3</v>
      </c>
      <c r="R96" s="340">
        <f>VLOOKUP(Q93,'Location Summary'!$G$2:$H$604,2,FALSE)</f>
        <v>405</v>
      </c>
      <c r="S96" s="662">
        <v>3</v>
      </c>
      <c r="T96" s="340">
        <f>VLOOKUP(S93,'Location Summary'!$G$2:$H$604,2,FALSE)</f>
        <v>405</v>
      </c>
      <c r="U96" s="339">
        <v>3</v>
      </c>
      <c r="V96" s="340">
        <f>VLOOKUP(U93,'Location Summary'!$G$2:$H$604,2,FALSE)</f>
        <v>435</v>
      </c>
      <c r="W96" s="339">
        <v>3</v>
      </c>
      <c r="X96" s="340">
        <f>VLOOKUP(W93,'Location Summary'!$G$2:$H$604,2,FALSE)</f>
        <v>345</v>
      </c>
      <c r="Y96" s="339">
        <v>3</v>
      </c>
      <c r="Z96" s="340">
        <f>VLOOKUP(Y93,'Location Summary'!$G$2:$H$604,2,FALSE)</f>
        <v>395</v>
      </c>
      <c r="AA96" s="339">
        <v>3</v>
      </c>
      <c r="AB96" s="340">
        <f>VLOOKUP(AA93,'Location Summary'!$G$2:$H$604,2,FALSE)</f>
        <v>440</v>
      </c>
      <c r="AC96" s="339">
        <v>3</v>
      </c>
      <c r="AD96" s="340">
        <f>VLOOKUP(AC93,'Location Summary'!$G$2:$H$604,2,FALSE)</f>
        <v>400</v>
      </c>
      <c r="AE96" s="339">
        <v>3</v>
      </c>
      <c r="AF96" s="340">
        <f>VLOOKUP(AE93,'Location Summary'!$G$2:$H$604,2,FALSE)</f>
        <v>440</v>
      </c>
      <c r="AG96" s="662">
        <v>3</v>
      </c>
      <c r="AH96" s="340">
        <f>VLOOKUP(AG93,'Location Summary'!$G$2:$H$604,2,FALSE)</f>
        <v>330</v>
      </c>
      <c r="AI96" s="339">
        <v>3</v>
      </c>
      <c r="AJ96" s="340">
        <f>VLOOKUP(AI93,'Location Summary'!$G$2:$H$604,2,FALSE)</f>
        <v>493.084</v>
      </c>
      <c r="AK96" s="339">
        <v>3</v>
      </c>
      <c r="AL96" s="340">
        <f>VLOOKUP(AK93,'Location Summary'!$G$2:$H$604,2,FALSE)</f>
        <v>454</v>
      </c>
      <c r="AM96" s="339">
        <v>3</v>
      </c>
      <c r="AN96" s="340">
        <f>VLOOKUP(AM93,'Location Summary'!$G$2:$H$604,2,FALSE)</f>
        <v>451</v>
      </c>
      <c r="AO96" s="339">
        <v>3</v>
      </c>
      <c r="AP96" s="340">
        <f>VLOOKUP(AO93,'Location Summary'!$G$2:$H$604,2,FALSE)</f>
        <v>375.7</v>
      </c>
      <c r="AQ96" s="339">
        <v>3</v>
      </c>
      <c r="AR96" s="340">
        <f>VLOOKUP(AQ93,'Location Summary'!$G$2:$H$604,2,FALSE)</f>
        <v>420.81</v>
      </c>
      <c r="AS96" s="339">
        <v>3</v>
      </c>
      <c r="AT96" s="341">
        <f>VLOOKUP(AS93,'Location Summary'!$G$2:$H$604,2,FALSE)</f>
        <v>469.33</v>
      </c>
    </row>
    <row r="97" spans="2:51" s="370" customFormat="1" ht="15" customHeight="1">
      <c r="B97" s="367"/>
      <c r="C97" s="344">
        <v>2</v>
      </c>
      <c r="D97" s="313"/>
      <c r="E97" s="344">
        <v>2</v>
      </c>
      <c r="F97" s="313"/>
      <c r="G97" s="344">
        <v>2</v>
      </c>
      <c r="H97" s="313"/>
      <c r="I97" s="344">
        <v>2</v>
      </c>
      <c r="J97" s="313"/>
      <c r="K97" s="344">
        <v>2</v>
      </c>
      <c r="L97" s="313"/>
      <c r="M97" s="344">
        <v>2</v>
      </c>
      <c r="N97" s="313"/>
      <c r="O97" s="344">
        <v>2</v>
      </c>
      <c r="P97" s="313"/>
      <c r="Q97" s="344">
        <v>2</v>
      </c>
      <c r="R97" s="313"/>
      <c r="S97" s="344">
        <v>2</v>
      </c>
      <c r="T97" s="313"/>
      <c r="U97" s="344">
        <v>2</v>
      </c>
      <c r="V97" s="313"/>
      <c r="W97" s="344">
        <v>2</v>
      </c>
      <c r="X97" s="313"/>
      <c r="Y97" s="344">
        <v>2</v>
      </c>
      <c r="Z97" s="313"/>
      <c r="AA97" s="344">
        <v>2</v>
      </c>
      <c r="AB97" s="313"/>
      <c r="AC97" s="344">
        <v>2</v>
      </c>
      <c r="AD97" s="313"/>
      <c r="AE97" s="344">
        <v>2</v>
      </c>
      <c r="AF97" s="313"/>
      <c r="AG97" s="344">
        <v>2</v>
      </c>
      <c r="AH97" s="313"/>
      <c r="AI97" s="344">
        <v>2</v>
      </c>
      <c r="AJ97" s="313"/>
      <c r="AK97" s="344">
        <v>2</v>
      </c>
      <c r="AL97" s="313"/>
      <c r="AM97" s="344">
        <v>2</v>
      </c>
      <c r="AN97" s="313"/>
      <c r="AO97" s="344">
        <v>2</v>
      </c>
      <c r="AP97" s="313"/>
      <c r="AQ97" s="344">
        <v>2</v>
      </c>
      <c r="AR97" s="313"/>
      <c r="AS97" s="344">
        <v>2</v>
      </c>
      <c r="AT97" s="329"/>
    </row>
    <row r="98" spans="2:51" ht="15" customHeight="1">
      <c r="B98" s="355"/>
      <c r="C98" s="317" t="str">
        <f>VLOOKUP(C93,'Location Summary'!$C$2:$J$604,2,FALSE)</f>
        <v>DA+0</v>
      </c>
      <c r="D98" s="331"/>
      <c r="E98" s="317" t="str">
        <f>VLOOKUP(E93,'Location Summary'!$C$2:$J$604,2,FALSE)</f>
        <v>DA+1.5</v>
      </c>
      <c r="F98" s="331"/>
      <c r="G98" s="317" t="str">
        <f>VLOOKUP(G93,'Location Summary'!$C$2:$J$604,2,FALSE)</f>
        <v>DA-3</v>
      </c>
      <c r="H98" s="331"/>
      <c r="I98" s="317" t="str">
        <f>VLOOKUP(I93,'Location Summary'!$C$2:$J$604,2,FALSE)</f>
        <v>DA+1.5</v>
      </c>
      <c r="J98" s="331"/>
      <c r="K98" s="317" t="str">
        <f>VLOOKUP(K93,'Location Summary'!$C$2:$J$604,2,FALSE)</f>
        <v>DA+3</v>
      </c>
      <c r="L98" s="331"/>
      <c r="M98" s="317" t="str">
        <f>VLOOKUP(M93,'Location Summary'!$C$2:$J$604,2,FALSE)</f>
        <v>DB2+0</v>
      </c>
      <c r="N98" s="331"/>
      <c r="O98" s="317" t="str">
        <f>VLOOKUP(O93,'Location Summary'!$C$2:$J$604,2,FALSE)</f>
        <v>DA+6</v>
      </c>
      <c r="P98" s="331"/>
      <c r="Q98" s="317" t="str">
        <f>VLOOKUP(Q93,'Location Summary'!$C$2:$J$604,2,FALSE)</f>
        <v>DA+6</v>
      </c>
      <c r="R98" s="331"/>
      <c r="S98" s="317" t="str">
        <f>VLOOKUP(S93,'Location Summary'!$C$2:$J$604,2,FALSE)</f>
        <v>DA-3</v>
      </c>
      <c r="T98" s="345"/>
      <c r="U98" s="317" t="str">
        <f>VLOOKUP(U93,'Location Summary'!$C$2:$J$604,2,FALSE)</f>
        <v>DA+9</v>
      </c>
      <c r="V98" s="345"/>
      <c r="W98" s="317" t="str">
        <f>VLOOKUP(W93,'Location Summary'!$C$2:$J$604,2,FALSE)</f>
        <v>DA+9</v>
      </c>
      <c r="X98" s="345"/>
      <c r="Y98" s="317" t="str">
        <f>VLOOKUP(Y93,'Location Summary'!$C$2:$J$604,2,FALSE)</f>
        <v>DA+6</v>
      </c>
      <c r="Z98" s="345"/>
      <c r="AA98" s="317" t="str">
        <f>VLOOKUP(AA93,'Location Summary'!$C$2:$J$604,2,FALSE)</f>
        <v>DA+3</v>
      </c>
      <c r="AB98" s="345"/>
      <c r="AC98" s="317" t="str">
        <f>VLOOKUP(AC93,'Location Summary'!$C$2:$J$604,2,FALSE)</f>
        <v>DA+6</v>
      </c>
      <c r="AD98" s="345"/>
      <c r="AE98" s="317" t="str">
        <f>VLOOKUP(AE93,'Location Summary'!$C$2:$J$604,2,FALSE)</f>
        <v>DA+1.5</v>
      </c>
      <c r="AF98" s="345"/>
      <c r="AG98" s="317" t="str">
        <f>VLOOKUP(AG93,'Location Summary'!$C$2:$J$604,2,FALSE)</f>
        <v>DA+3</v>
      </c>
      <c r="AH98" s="345"/>
      <c r="AI98" s="317" t="str">
        <f>VLOOKUP(AI93,'Location Summary'!$C$2:$J$604,2,FALSE)</f>
        <v>DA+3</v>
      </c>
      <c r="AJ98" s="345"/>
      <c r="AK98" s="317" t="str">
        <f>VLOOKUP(AK93,'Location Summary'!$C$2:$J$604,2,FALSE)</f>
        <v>DB2+3</v>
      </c>
      <c r="AL98" s="345"/>
      <c r="AM98" s="317" t="str">
        <f>VLOOKUP(AM93,'Location Summary'!$C$2:$J$604,2,FALSE)</f>
        <v>DB1+9</v>
      </c>
      <c r="AN98" s="345"/>
      <c r="AO98" s="317" t="str">
        <f>VLOOKUP(AO93,'Location Summary'!$C$2:$J$604,2,FALSE)</f>
        <v>DA+3</v>
      </c>
      <c r="AP98" s="345"/>
      <c r="AQ98" s="317" t="str">
        <f>VLOOKUP(AQ93,'Location Summary'!$C$2:$J$604,2,FALSE)</f>
        <v>DB2+9</v>
      </c>
      <c r="AS98" s="317" t="str">
        <f>VLOOKUP(AS93,'Location Summary'!$C$2:$J$604,2,FALSE)</f>
        <v>DC2+15</v>
      </c>
      <c r="AT98" s="329"/>
    </row>
    <row r="99" spans="2:51" ht="15" customHeight="1" thickBot="1">
      <c r="B99" s="374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621"/>
      <c r="N99" s="621"/>
      <c r="O99" s="621"/>
      <c r="P99" s="1493"/>
      <c r="Q99" s="1493"/>
      <c r="R99" s="1493"/>
      <c r="S99" s="1105"/>
      <c r="U99" s="731"/>
      <c r="V99" s="621"/>
      <c r="W99" s="621"/>
      <c r="X99" s="621"/>
      <c r="Y99" s="621"/>
      <c r="Z99" s="621"/>
      <c r="AA99" s="621"/>
      <c r="AB99" s="621"/>
      <c r="AC99" s="621"/>
      <c r="AD99" s="621"/>
      <c r="AE99" s="621"/>
      <c r="AF99" s="1105"/>
      <c r="AG99" s="1105"/>
      <c r="AH99" s="1105"/>
      <c r="AI99" s="375"/>
      <c r="AK99" s="1105"/>
      <c r="AL99" s="375"/>
      <c r="AM99" s="375"/>
      <c r="AN99" s="375"/>
      <c r="AO99" s="375"/>
      <c r="AP99" s="375"/>
      <c r="AQ99" s="1559" t="s">
        <v>1453</v>
      </c>
      <c r="AR99" s="1559"/>
      <c r="AS99" s="1559"/>
      <c r="AT99" s="1560"/>
      <c r="AV99" s="354"/>
    </row>
    <row r="100" spans="2:51" ht="15" customHeight="1">
      <c r="B100" s="348"/>
      <c r="C100" s="346">
        <f>AS92+1</f>
        <v>236</v>
      </c>
      <c r="D100" s="327"/>
      <c r="E100" s="346">
        <f>C100+1</f>
        <v>237</v>
      </c>
      <c r="F100" s="346"/>
      <c r="G100" s="346">
        <f>E100+1</f>
        <v>238</v>
      </c>
      <c r="H100" s="346"/>
      <c r="I100" s="346">
        <f>G100+1</f>
        <v>239</v>
      </c>
      <c r="J100" s="346"/>
      <c r="K100" s="346">
        <f>I100+1</f>
        <v>240</v>
      </c>
      <c r="L100" s="346"/>
      <c r="M100" s="346">
        <f>K100+1</f>
        <v>241</v>
      </c>
      <c r="N100" s="346"/>
      <c r="O100" s="346">
        <f>M100+1</f>
        <v>242</v>
      </c>
      <c r="P100" s="346"/>
      <c r="Q100" s="346">
        <f>O100+1</f>
        <v>243</v>
      </c>
      <c r="R100" s="346"/>
      <c r="S100" s="346">
        <f>Q100+1</f>
        <v>244</v>
      </c>
      <c r="T100" s="346"/>
      <c r="U100" s="346">
        <f>S100+1</f>
        <v>245</v>
      </c>
      <c r="V100" s="346"/>
      <c r="W100" s="346">
        <f>U100+1</f>
        <v>246</v>
      </c>
      <c r="X100" s="346"/>
      <c r="Y100" s="346">
        <f>W100+1</f>
        <v>247</v>
      </c>
      <c r="Z100" s="346"/>
      <c r="AA100" s="346">
        <f>Y100+1</f>
        <v>248</v>
      </c>
      <c r="AB100" s="346"/>
      <c r="AC100" s="346">
        <f>AA100+1</f>
        <v>249</v>
      </c>
      <c r="AD100" s="346" t="s">
        <v>33</v>
      </c>
      <c r="AE100" s="346">
        <f>AC100+1</f>
        <v>250</v>
      </c>
      <c r="AF100" s="346"/>
      <c r="AG100" s="346">
        <f>AE100+1</f>
        <v>251</v>
      </c>
      <c r="AH100" s="346"/>
      <c r="AI100" s="346">
        <f>AG100+1</f>
        <v>252</v>
      </c>
      <c r="AJ100" s="346"/>
      <c r="AK100" s="346">
        <f>AI100+1</f>
        <v>253</v>
      </c>
      <c r="AL100" s="346"/>
      <c r="AM100" s="346">
        <f>AK100+1</f>
        <v>254</v>
      </c>
      <c r="AO100" s="346">
        <f>AM100+1</f>
        <v>255</v>
      </c>
      <c r="AP100" s="346"/>
      <c r="AQ100" s="346">
        <f>AO100+1</f>
        <v>256</v>
      </c>
      <c r="AR100" s="346"/>
      <c r="AS100" s="346">
        <f>AQ100+1</f>
        <v>257</v>
      </c>
      <c r="AT100" s="329"/>
    </row>
    <row r="101" spans="2:51" s="351" customFormat="1" ht="15" customHeight="1">
      <c r="B101" s="365"/>
      <c r="C101" s="351" t="s">
        <v>1789</v>
      </c>
      <c r="E101" s="351" t="s">
        <v>604</v>
      </c>
      <c r="G101" s="351" t="s">
        <v>605</v>
      </c>
      <c r="I101" s="351" t="s">
        <v>606</v>
      </c>
      <c r="K101" s="351" t="s">
        <v>607</v>
      </c>
      <c r="M101" s="351" t="s">
        <v>777</v>
      </c>
      <c r="O101" s="351" t="s">
        <v>778</v>
      </c>
      <c r="Q101" s="351" t="s">
        <v>779</v>
      </c>
      <c r="S101" s="351" t="s">
        <v>780</v>
      </c>
      <c r="U101" s="351" t="s">
        <v>781</v>
      </c>
      <c r="W101" s="351" t="s">
        <v>782</v>
      </c>
      <c r="Y101" s="351" t="s">
        <v>783</v>
      </c>
      <c r="AA101" s="351" t="s">
        <v>72</v>
      </c>
      <c r="AC101" s="351" t="s">
        <v>609</v>
      </c>
      <c r="AE101" s="351" t="s">
        <v>610</v>
      </c>
      <c r="AG101" s="351" t="s">
        <v>611</v>
      </c>
      <c r="AI101" s="351" t="s">
        <v>612</v>
      </c>
      <c r="AK101" s="351" t="s">
        <v>613</v>
      </c>
      <c r="AM101" s="351" t="s">
        <v>614</v>
      </c>
      <c r="AO101" s="351" t="s">
        <v>615</v>
      </c>
      <c r="AQ101" s="351" t="s">
        <v>616</v>
      </c>
      <c r="AS101" s="351" t="s">
        <v>617</v>
      </c>
      <c r="AT101" s="329"/>
    </row>
    <row r="102" spans="2:51" ht="15" customHeight="1">
      <c r="B102" s="355"/>
      <c r="T102" s="317"/>
      <c r="V102" s="317"/>
      <c r="X102" s="317"/>
      <c r="Z102" s="317"/>
      <c r="AB102" s="317"/>
      <c r="AD102" s="317"/>
      <c r="AF102" s="317"/>
      <c r="AH102" s="317"/>
      <c r="AJ102" s="317"/>
      <c r="AL102" s="317"/>
      <c r="AN102" s="317"/>
      <c r="AP102" s="317"/>
      <c r="AR102" s="317"/>
      <c r="AT102" s="329"/>
    </row>
    <row r="103" spans="2:51" ht="15" customHeight="1">
      <c r="B103" s="361"/>
      <c r="AT103" s="329"/>
    </row>
    <row r="104" spans="2:51" s="370" customFormat="1" ht="20.25" customHeight="1">
      <c r="B104" s="361"/>
      <c r="C104" s="339">
        <v>3</v>
      </c>
      <c r="D104" s="340">
        <f>VLOOKUP(C101,'Location Summary'!$G$2:$H$604,2,FALSE)</f>
        <v>411.28</v>
      </c>
      <c r="E104" s="339">
        <v>3</v>
      </c>
      <c r="F104" s="340">
        <f>VLOOKUP(E101,'Location Summary'!$G$2:$H$604,2,FALSE)</f>
        <v>405</v>
      </c>
      <c r="G104" s="339">
        <v>3</v>
      </c>
      <c r="H104" s="340">
        <f>VLOOKUP(G101,'Location Summary'!$G$2:$H$604,2,FALSE)</f>
        <v>430</v>
      </c>
      <c r="I104" s="339">
        <v>3</v>
      </c>
      <c r="J104" s="340">
        <f>VLOOKUP(I101,'Location Summary'!$G$2:$H$604,2,FALSE)</f>
        <v>410</v>
      </c>
      <c r="K104" s="339">
        <v>3</v>
      </c>
      <c r="L104" s="340">
        <f>VLOOKUP(K101,'Location Summary'!$G$2:$H$604,2,FALSE)</f>
        <v>420</v>
      </c>
      <c r="M104" s="339">
        <v>3</v>
      </c>
      <c r="N104" s="340">
        <f>VLOOKUP(M101,'Location Summary'!$G$2:$H$604,2,FALSE)</f>
        <v>280</v>
      </c>
      <c r="O104" s="339">
        <v>3</v>
      </c>
      <c r="P104" s="340">
        <f>VLOOKUP(O101,'Location Summary'!$G$2:$H$604,2,FALSE)</f>
        <v>345</v>
      </c>
      <c r="Q104" s="339">
        <v>3</v>
      </c>
      <c r="R104" s="340">
        <f>VLOOKUP(Q101,'Location Summary'!$G$2:$H$604,2,FALSE)</f>
        <v>330</v>
      </c>
      <c r="S104" s="339">
        <v>3</v>
      </c>
      <c r="T104" s="340">
        <f>VLOOKUP(S101,'Location Summary'!$G$2:$H$604,2,FALSE)</f>
        <v>455</v>
      </c>
      <c r="U104" s="339">
        <v>3</v>
      </c>
      <c r="V104" s="340">
        <f>VLOOKUP(U101,'Location Summary'!$G$2:$H$604,2,FALSE)</f>
        <v>340</v>
      </c>
      <c r="W104" s="339">
        <v>3</v>
      </c>
      <c r="X104" s="340">
        <f>VLOOKUP(W101,'Location Summary'!$G$2:$H$604,2,FALSE)</f>
        <v>435</v>
      </c>
      <c r="Y104" s="339">
        <v>3</v>
      </c>
      <c r="Z104" s="340">
        <f>VLOOKUP(Y101,'Location Summary'!$G$2:$H$604,2,FALSE)</f>
        <v>398.589</v>
      </c>
      <c r="AA104" s="339">
        <v>3</v>
      </c>
      <c r="AB104" s="340">
        <f>VLOOKUP(AA101,'Location Summary'!$G$2:$H$604,2,FALSE)</f>
        <v>426.411</v>
      </c>
      <c r="AC104" s="339">
        <v>3</v>
      </c>
      <c r="AD104" s="340">
        <f>VLOOKUP(AC101,'Location Summary'!$G$2:$H$604,2,FALSE)</f>
        <v>390</v>
      </c>
      <c r="AE104" s="339">
        <v>3</v>
      </c>
      <c r="AF104" s="340">
        <f>VLOOKUP(AE101,'Location Summary'!$G$2:$H$604,2,FALSE)</f>
        <v>335</v>
      </c>
      <c r="AG104" s="339">
        <v>3</v>
      </c>
      <c r="AH104" s="340">
        <f>VLOOKUP(AG101,'Location Summary'!$G$2:$H$604,2,FALSE)</f>
        <v>440</v>
      </c>
      <c r="AI104" s="339">
        <v>3</v>
      </c>
      <c r="AJ104" s="340">
        <f>VLOOKUP(AI101,'Location Summary'!$G$2:$H$604,2,FALSE)</f>
        <v>280</v>
      </c>
      <c r="AK104" s="339">
        <v>3</v>
      </c>
      <c r="AL104" s="340">
        <f>VLOOKUP(AK101,'Location Summary'!$G$2:$H$604,2,FALSE)</f>
        <v>450</v>
      </c>
      <c r="AM104" s="339">
        <v>3</v>
      </c>
      <c r="AN104" s="340">
        <f>VLOOKUP(AM101,'Location Summary'!$G$2:$H$604,2,FALSE)</f>
        <v>285</v>
      </c>
      <c r="AO104" s="339">
        <v>3</v>
      </c>
      <c r="AP104" s="340">
        <f>VLOOKUP(AO101,'Location Summary'!$G$2:$H$604,2,FALSE)</f>
        <v>445</v>
      </c>
      <c r="AQ104" s="339">
        <v>3</v>
      </c>
      <c r="AR104" s="340">
        <f>VLOOKUP(AQ101,'Location Summary'!$G$2:$H$604,2,FALSE)</f>
        <v>360</v>
      </c>
      <c r="AS104" s="339">
        <v>3</v>
      </c>
      <c r="AT104" s="341">
        <f>VLOOKUP(AS101,'Location Summary'!$G$2:$H$604,2,FALSE)</f>
        <v>430</v>
      </c>
    </row>
    <row r="105" spans="2:51" s="370" customFormat="1" ht="15" customHeight="1">
      <c r="B105" s="367"/>
      <c r="C105" s="344">
        <v>2</v>
      </c>
      <c r="D105" s="313"/>
      <c r="E105" s="344">
        <v>2</v>
      </c>
      <c r="F105" s="313"/>
      <c r="G105" s="344">
        <v>2</v>
      </c>
      <c r="H105" s="313"/>
      <c r="I105" s="344">
        <v>2</v>
      </c>
      <c r="J105" s="313"/>
      <c r="K105" s="344">
        <v>2</v>
      </c>
      <c r="L105" s="313"/>
      <c r="M105" s="344">
        <v>2</v>
      </c>
      <c r="N105" s="313"/>
      <c r="O105" s="344">
        <v>2</v>
      </c>
      <c r="P105" s="313"/>
      <c r="Q105" s="344">
        <v>2</v>
      </c>
      <c r="R105" s="313"/>
      <c r="S105" s="344">
        <v>2</v>
      </c>
      <c r="T105" s="313"/>
      <c r="U105" s="344">
        <v>2</v>
      </c>
      <c r="V105" s="313"/>
      <c r="W105" s="344">
        <v>2</v>
      </c>
      <c r="X105" s="313"/>
      <c r="Y105" s="344">
        <v>2</v>
      </c>
      <c r="Z105" s="313"/>
      <c r="AA105" s="344">
        <v>2</v>
      </c>
      <c r="AB105" s="313"/>
      <c r="AC105" s="344">
        <v>2</v>
      </c>
      <c r="AD105" s="313"/>
      <c r="AE105" s="344">
        <v>2</v>
      </c>
      <c r="AF105" s="313"/>
      <c r="AG105" s="344">
        <v>2</v>
      </c>
      <c r="AH105" s="313"/>
      <c r="AI105" s="344">
        <v>2</v>
      </c>
      <c r="AJ105" s="313"/>
      <c r="AK105" s="344">
        <v>2</v>
      </c>
      <c r="AL105" s="313"/>
      <c r="AM105" s="344">
        <v>2</v>
      </c>
      <c r="AN105" s="313"/>
      <c r="AO105" s="344">
        <v>2</v>
      </c>
      <c r="AP105" s="313"/>
      <c r="AQ105" s="344">
        <v>2</v>
      </c>
      <c r="AR105" s="313"/>
      <c r="AS105" s="344">
        <v>2</v>
      </c>
      <c r="AT105" s="329"/>
    </row>
    <row r="106" spans="2:51" ht="15" customHeight="1">
      <c r="B106" s="355"/>
      <c r="C106" s="317" t="str">
        <f>VLOOKUP(C101,'Location Summary'!$C$2:$J$604,2,FALSE)</f>
        <v>DB2+9</v>
      </c>
      <c r="D106" s="331"/>
      <c r="E106" s="317" t="str">
        <f>VLOOKUP(E101,'Location Summary'!$C$2:$J$604,2,FALSE)</f>
        <v>DA+3</v>
      </c>
      <c r="F106" s="331"/>
      <c r="G106" s="317" t="str">
        <f>VLOOKUP(G101,'Location Summary'!$C$2:$J$604,2,FALSE)</f>
        <v>DA-1.5</v>
      </c>
      <c r="H106" s="331"/>
      <c r="I106" s="317" t="str">
        <f>VLOOKUP(I101,'Location Summary'!$C$2:$J$604,2,FALSE)</f>
        <v>DA+9</v>
      </c>
      <c r="J106" s="331"/>
      <c r="K106" s="317" t="str">
        <f>VLOOKUP(K101,'Location Summary'!$C$2:$J$604,2,FALSE)</f>
        <v>DA+3</v>
      </c>
      <c r="L106" s="331"/>
      <c r="M106" s="317" t="str">
        <f>VLOOKUP(M101,'Location Summary'!$C$2:$J$604,2,FALSE)</f>
        <v>DB1+0</v>
      </c>
      <c r="N106" s="331"/>
      <c r="O106" s="317" t="str">
        <f>VLOOKUP(O101,'Location Summary'!$C$2:$J$604,2,FALSE)</f>
        <v>DA+3</v>
      </c>
      <c r="P106" s="331"/>
      <c r="Q106" s="317" t="str">
        <f>VLOOKUP(Q101,'Location Summary'!$C$2:$J$604,2,FALSE)</f>
        <v>DA+1.5</v>
      </c>
      <c r="R106" s="331"/>
      <c r="S106" s="317" t="str">
        <f>VLOOKUP(S101,'Location Summary'!$C$2:$J$604,2,FALSE)</f>
        <v>DA+3</v>
      </c>
      <c r="T106" s="345"/>
      <c r="U106" s="317" t="str">
        <f>VLOOKUP(U101,'Location Summary'!$C$2:$J$604,2,FALSE)</f>
        <v>DA+9</v>
      </c>
      <c r="V106" s="345"/>
      <c r="W106" s="317" t="str">
        <f>VLOOKUP(W101,'Location Summary'!$C$2:$J$604,2,FALSE)</f>
        <v>DA+3</v>
      </c>
      <c r="X106" s="345"/>
      <c r="Y106" s="317" t="str">
        <f>VLOOKUP(Y101,'Location Summary'!$C$2:$J$604,2,FALSE)</f>
        <v>DA+3</v>
      </c>
      <c r="Z106" s="345"/>
      <c r="AA106" s="317" t="str">
        <f>VLOOKUP(AA101,'Location Summary'!$C$2:$J$604,2,FALSE)</f>
        <v>DB1+3</v>
      </c>
      <c r="AB106" s="345"/>
      <c r="AC106" s="317" t="str">
        <f>VLOOKUP(AC101,'Location Summary'!$C$2:$J$604,2,FALSE)</f>
        <v>DA+0</v>
      </c>
      <c r="AD106" s="345"/>
      <c r="AE106" s="317" t="str">
        <f>VLOOKUP(AE101,'Location Summary'!$C$2:$J$604,2,FALSE)</f>
        <v>DA+0</v>
      </c>
      <c r="AF106" s="345"/>
      <c r="AG106" s="317" t="str">
        <f>VLOOKUP(AG101,'Location Summary'!$C$2:$J$604,2,FALSE)</f>
        <v>DA+3</v>
      </c>
      <c r="AH106" s="345"/>
      <c r="AI106" s="317" t="str">
        <f>VLOOKUP(AI101,'Location Summary'!$C$2:$J$604,2,FALSE)</f>
        <v>DA+1.5</v>
      </c>
      <c r="AJ106" s="345"/>
      <c r="AK106" s="317" t="str">
        <f>VLOOKUP(AK101,'Location Summary'!$C$2:$J$604,2,FALSE)</f>
        <v>DA+3</v>
      </c>
      <c r="AL106" s="345"/>
      <c r="AM106" s="317" t="str">
        <f>VLOOKUP(AM101,'Location Summary'!$C$2:$J$604,2,FALSE)</f>
        <v>DA+6</v>
      </c>
      <c r="AN106" s="345"/>
      <c r="AO106" s="317" t="str">
        <f>VLOOKUP(AO101,'Location Summary'!$C$2:$J$604,2,FALSE)</f>
        <v>DA+9</v>
      </c>
      <c r="AP106" s="345"/>
      <c r="AQ106" s="317" t="str">
        <f>VLOOKUP(AQ101,'Location Summary'!$C$2:$J$604,2,FALSE)</f>
        <v>DA+1.5</v>
      </c>
      <c r="AS106" s="317" t="str">
        <f>VLOOKUP(AS101,'Location Summary'!$C$2:$J$604,2,FALSE)</f>
        <v>DA+0</v>
      </c>
      <c r="AT106" s="329"/>
    </row>
    <row r="107" spans="2:51" ht="15" customHeight="1">
      <c r="B107" s="348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46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17"/>
      <c r="AL107" s="317"/>
      <c r="AM107" s="317"/>
      <c r="AN107" s="317"/>
      <c r="AO107" s="317"/>
      <c r="AP107" s="317"/>
      <c r="AQ107" s="317"/>
      <c r="AR107" s="317"/>
      <c r="AS107" s="317"/>
      <c r="AT107" s="329"/>
      <c r="AV107" s="354"/>
    </row>
    <row r="108" spans="2:51" ht="15" customHeight="1">
      <c r="B108" s="348"/>
      <c r="C108" s="346">
        <f>AS100+1</f>
        <v>258</v>
      </c>
      <c r="D108" s="327"/>
      <c r="E108" s="346">
        <f>C108+1</f>
        <v>259</v>
      </c>
      <c r="F108" s="346"/>
      <c r="G108" s="346">
        <f>E108+1</f>
        <v>260</v>
      </c>
      <c r="H108" s="346"/>
      <c r="I108" s="346">
        <f>G108+1</f>
        <v>261</v>
      </c>
      <c r="J108" s="346"/>
      <c r="K108" s="346">
        <f>I108+1</f>
        <v>262</v>
      </c>
      <c r="L108" s="346"/>
      <c r="M108" s="346">
        <f>K108+1</f>
        <v>263</v>
      </c>
      <c r="N108" s="346"/>
      <c r="O108" s="346">
        <f>M108+1</f>
        <v>264</v>
      </c>
      <c r="P108" s="346"/>
      <c r="Q108" s="346">
        <f>O108+1</f>
        <v>265</v>
      </c>
      <c r="R108" s="346"/>
      <c r="S108" s="346">
        <f>Q108+1</f>
        <v>266</v>
      </c>
      <c r="T108" s="346"/>
      <c r="U108" s="346">
        <f>S108+1</f>
        <v>267</v>
      </c>
      <c r="V108" s="346"/>
      <c r="W108" s="346">
        <f>U108+1</f>
        <v>268</v>
      </c>
      <c r="X108" s="346"/>
      <c r="Y108" s="346">
        <f>W108+1</f>
        <v>269</v>
      </c>
      <c r="Z108" s="346"/>
      <c r="AA108" s="346">
        <f>Y108+1</f>
        <v>270</v>
      </c>
      <c r="AB108" s="346"/>
      <c r="AC108" s="346">
        <f>AA108+1</f>
        <v>271</v>
      </c>
      <c r="AD108" s="346"/>
      <c r="AE108" s="346">
        <f>AC108+1</f>
        <v>272</v>
      </c>
      <c r="AF108" s="346"/>
      <c r="AG108" s="346">
        <f>AE108+1</f>
        <v>273</v>
      </c>
      <c r="AH108" s="346"/>
      <c r="AI108" s="346">
        <f>AG108+1</f>
        <v>274</v>
      </c>
      <c r="AJ108" s="346"/>
      <c r="AK108" s="346">
        <f>AI108+1</f>
        <v>275</v>
      </c>
      <c r="AL108" s="346"/>
      <c r="AM108" s="346">
        <f>AK108+1</f>
        <v>276</v>
      </c>
      <c r="AO108" s="346">
        <f>AM108+1</f>
        <v>277</v>
      </c>
      <c r="AP108" s="346"/>
      <c r="AQ108" s="346">
        <f>AO108+1</f>
        <v>278</v>
      </c>
      <c r="AR108" s="346"/>
      <c r="AS108" s="346">
        <f>AQ108+1</f>
        <v>279</v>
      </c>
      <c r="AT108" s="329"/>
    </row>
    <row r="109" spans="2:51" s="359" customFormat="1" ht="15" customHeight="1">
      <c r="B109" s="349"/>
      <c r="C109" s="351" t="s">
        <v>618</v>
      </c>
      <c r="D109" s="351"/>
      <c r="E109" s="351" t="s">
        <v>73</v>
      </c>
      <c r="F109" s="351"/>
      <c r="G109" s="351" t="s">
        <v>620</v>
      </c>
      <c r="H109" s="351"/>
      <c r="I109" s="351" t="s">
        <v>621</v>
      </c>
      <c r="J109" s="351"/>
      <c r="K109" s="351" t="s">
        <v>622</v>
      </c>
      <c r="L109" s="351"/>
      <c r="M109" s="351" t="s">
        <v>623</v>
      </c>
      <c r="N109" s="351"/>
      <c r="O109" s="351" t="s">
        <v>624</v>
      </c>
      <c r="P109" s="351"/>
      <c r="Q109" s="351" t="s">
        <v>625</v>
      </c>
      <c r="R109" s="351"/>
      <c r="S109" s="351" t="s">
        <v>626</v>
      </c>
      <c r="T109" s="351"/>
      <c r="U109" s="351" t="s">
        <v>627</v>
      </c>
      <c r="V109" s="351"/>
      <c r="W109" s="351" t="s">
        <v>628</v>
      </c>
      <c r="X109" s="351"/>
      <c r="Y109" s="351" t="s">
        <v>629</v>
      </c>
      <c r="Z109" s="351"/>
      <c r="AA109" s="351" t="s">
        <v>630</v>
      </c>
      <c r="AB109" s="351"/>
      <c r="AC109" s="351" t="s">
        <v>74</v>
      </c>
      <c r="AD109" s="351"/>
      <c r="AE109" s="351" t="s">
        <v>206</v>
      </c>
      <c r="AF109" s="351"/>
      <c r="AG109" s="351" t="s">
        <v>207</v>
      </c>
      <c r="AH109" s="351"/>
      <c r="AI109" s="351" t="s">
        <v>5</v>
      </c>
      <c r="AJ109" s="351"/>
      <c r="AK109" s="351" t="s">
        <v>6</v>
      </c>
      <c r="AL109" s="351"/>
      <c r="AM109" s="351" t="s">
        <v>632</v>
      </c>
      <c r="AN109" s="351"/>
      <c r="AO109" s="351" t="s">
        <v>633</v>
      </c>
      <c r="AP109" s="351"/>
      <c r="AQ109" s="351" t="s">
        <v>634</v>
      </c>
      <c r="AR109" s="351"/>
      <c r="AS109" s="351" t="s">
        <v>635</v>
      </c>
      <c r="AT109" s="360"/>
      <c r="AY109" s="359" t="s">
        <v>33</v>
      </c>
    </row>
    <row r="110" spans="2:51" ht="15" customHeight="1">
      <c r="B110" s="355"/>
      <c r="T110" s="317"/>
      <c r="V110" s="317"/>
      <c r="X110" s="317"/>
      <c r="Z110" s="317"/>
      <c r="AB110" s="317"/>
      <c r="AD110" s="317"/>
      <c r="AF110" s="317"/>
      <c r="AH110" s="317"/>
      <c r="AJ110" s="317"/>
      <c r="AL110" s="317"/>
      <c r="AN110" s="317"/>
      <c r="AP110" s="317"/>
      <c r="AR110" s="317"/>
      <c r="AT110" s="329"/>
    </row>
    <row r="111" spans="2:51" ht="15" customHeight="1">
      <c r="B111" s="361"/>
      <c r="AT111" s="329"/>
    </row>
    <row r="112" spans="2:51" s="370" customFormat="1" ht="20.25" customHeight="1">
      <c r="B112" s="361"/>
      <c r="C112" s="339">
        <v>3</v>
      </c>
      <c r="D112" s="340">
        <f>VLOOKUP(C109,'Location Summary'!$G$2:$H$604,2,FALSE)</f>
        <v>322.26600000000002</v>
      </c>
      <c r="E112" s="339">
        <v>3</v>
      </c>
      <c r="F112" s="340">
        <f>VLOOKUP(E109,'Location Summary'!$G$2:$H$604,2,FALSE)</f>
        <v>392.73</v>
      </c>
      <c r="G112" s="339">
        <v>3</v>
      </c>
      <c r="H112" s="340">
        <f>VLOOKUP(G109,'Location Summary'!$G$2:$H$604,2,FALSE)</f>
        <v>395</v>
      </c>
      <c r="I112" s="339">
        <v>3</v>
      </c>
      <c r="J112" s="340">
        <f>VLOOKUP(I109,'Location Summary'!$G$2:$H$604,2,FALSE)</f>
        <v>385</v>
      </c>
      <c r="K112" s="339">
        <v>3</v>
      </c>
      <c r="L112" s="340">
        <f>VLOOKUP(K109,'Location Summary'!$G$2:$H$604,2,FALSE)</f>
        <v>340</v>
      </c>
      <c r="M112" s="339">
        <v>3</v>
      </c>
      <c r="N112" s="340">
        <f>VLOOKUP(M109,'Location Summary'!$G$2:$H$604,2,FALSE)</f>
        <v>395</v>
      </c>
      <c r="O112" s="339">
        <v>3</v>
      </c>
      <c r="P112" s="340">
        <f>VLOOKUP(O109,'Location Summary'!$G$2:$H$604,2,FALSE)</f>
        <v>410</v>
      </c>
      <c r="Q112" s="339">
        <v>3</v>
      </c>
      <c r="R112" s="340">
        <f>VLOOKUP(Q109,'Location Summary'!$G$2:$H$604,2,FALSE)</f>
        <v>415</v>
      </c>
      <c r="S112" s="339">
        <v>3</v>
      </c>
      <c r="T112" s="340">
        <f>VLOOKUP(S109,'Location Summary'!$G$2:$H$604,2,FALSE)</f>
        <v>415</v>
      </c>
      <c r="U112" s="339">
        <v>3</v>
      </c>
      <c r="V112" s="340">
        <f>VLOOKUP(U109,'Location Summary'!$G$2:$H$604,2,FALSE)</f>
        <v>350</v>
      </c>
      <c r="W112" s="339">
        <v>3</v>
      </c>
      <c r="X112" s="340">
        <f>VLOOKUP(W109,'Location Summary'!$G$2:$H$604,2,FALSE)</f>
        <v>425</v>
      </c>
      <c r="Y112" s="339">
        <v>3</v>
      </c>
      <c r="Z112" s="340">
        <f>VLOOKUP(Y109,'Location Summary'!$G$2:$H$604,2,FALSE)</f>
        <v>350</v>
      </c>
      <c r="AA112" s="339">
        <v>3</v>
      </c>
      <c r="AB112" s="340">
        <f>VLOOKUP(AA109,'Location Summary'!$G$2:$H$604,2,FALSE)</f>
        <v>444.08100000000002</v>
      </c>
      <c r="AC112" s="339">
        <v>3</v>
      </c>
      <c r="AD112" s="340">
        <f>VLOOKUP(AC109,'Location Summary'!$G$2:$H$604,2,FALSE)</f>
        <v>260.91800000000001</v>
      </c>
      <c r="AE112" s="339">
        <v>3</v>
      </c>
      <c r="AF112" s="340">
        <f>VLOOKUP(AE109,'Location Summary'!$G$2:$H$604,2,FALSE)</f>
        <v>385</v>
      </c>
      <c r="AG112" s="339">
        <v>3</v>
      </c>
      <c r="AH112" s="340">
        <f>VLOOKUP(AG109,'Location Summary'!$G$2:$H$604,2,FALSE)</f>
        <v>435</v>
      </c>
      <c r="AI112" s="339">
        <v>3</v>
      </c>
      <c r="AJ112" s="340">
        <f>VLOOKUP(AI109,'Location Summary'!$G$2:$H$604,2,FALSE)</f>
        <v>385</v>
      </c>
      <c r="AK112" s="339">
        <v>3</v>
      </c>
      <c r="AL112" s="340">
        <f>VLOOKUP(AK109,'Location Summary'!$G$2:$H$604,2,FALSE)</f>
        <v>455</v>
      </c>
      <c r="AM112" s="339">
        <v>3</v>
      </c>
      <c r="AN112" s="340">
        <f>VLOOKUP(AM109,'Location Summary'!$G$2:$H$604,2,FALSE)</f>
        <v>370</v>
      </c>
      <c r="AO112" s="339">
        <v>3</v>
      </c>
      <c r="AP112" s="340">
        <f>VLOOKUP(AO109,'Location Summary'!$G$2:$H$604,2,FALSE)</f>
        <v>400</v>
      </c>
      <c r="AQ112" s="339">
        <v>3</v>
      </c>
      <c r="AR112" s="340">
        <f>VLOOKUP(AQ109,'Location Summary'!$G$2:$H$604,2,FALSE)</f>
        <v>350</v>
      </c>
      <c r="AS112" s="339">
        <v>3</v>
      </c>
      <c r="AT112" s="341">
        <f>VLOOKUP(AS109,'Location Summary'!$G$2:$H$604,2,FALSE)</f>
        <v>470</v>
      </c>
    </row>
    <row r="113" spans="2:48" s="370" customFormat="1" ht="15" customHeight="1">
      <c r="B113" s="367"/>
      <c r="C113" s="344">
        <v>2</v>
      </c>
      <c r="D113" s="313"/>
      <c r="E113" s="344">
        <v>2</v>
      </c>
      <c r="F113" s="313"/>
      <c r="G113" s="344">
        <v>2</v>
      </c>
      <c r="H113" s="313"/>
      <c r="I113" s="344">
        <v>2</v>
      </c>
      <c r="J113" s="313"/>
      <c r="K113" s="344">
        <v>2</v>
      </c>
      <c r="L113" s="313"/>
      <c r="M113" s="344">
        <v>2</v>
      </c>
      <c r="N113" s="313"/>
      <c r="O113" s="344">
        <v>2</v>
      </c>
      <c r="P113" s="313"/>
      <c r="Q113" s="344">
        <v>2</v>
      </c>
      <c r="R113" s="313"/>
      <c r="S113" s="344">
        <v>2</v>
      </c>
      <c r="T113" s="313"/>
      <c r="U113" s="344">
        <v>2</v>
      </c>
      <c r="V113" s="313"/>
      <c r="W113" s="344">
        <v>2</v>
      </c>
      <c r="X113" s="313"/>
      <c r="Y113" s="344">
        <v>2</v>
      </c>
      <c r="Z113" s="313"/>
      <c r="AA113" s="344">
        <v>2</v>
      </c>
      <c r="AB113" s="313"/>
      <c r="AC113" s="344">
        <v>2</v>
      </c>
      <c r="AD113" s="313"/>
      <c r="AE113" s="344">
        <v>2</v>
      </c>
      <c r="AF113" s="313"/>
      <c r="AG113" s="344">
        <v>2</v>
      </c>
      <c r="AH113" s="313"/>
      <c r="AI113" s="344">
        <v>2</v>
      </c>
      <c r="AJ113" s="313"/>
      <c r="AK113" s="344">
        <v>2</v>
      </c>
      <c r="AL113" s="313"/>
      <c r="AM113" s="344">
        <v>2</v>
      </c>
      <c r="AN113" s="313"/>
      <c r="AO113" s="344">
        <v>2</v>
      </c>
      <c r="AP113" s="313"/>
      <c r="AQ113" s="344">
        <v>2</v>
      </c>
      <c r="AR113" s="313"/>
      <c r="AS113" s="344">
        <v>2</v>
      </c>
      <c r="AT113" s="329"/>
    </row>
    <row r="114" spans="2:48" ht="15" customHeight="1">
      <c r="B114" s="355"/>
      <c r="C114" s="317" t="str">
        <f>VLOOKUP(C109,'Location Summary'!$C$2:$J$604,2,FALSE)</f>
        <v>DA+3</v>
      </c>
      <c r="D114" s="331"/>
      <c r="E114" s="317" t="str">
        <f>VLOOKUP(E109,'Location Summary'!$C$2:$J$604,2,FALSE)</f>
        <v>DB2+0</v>
      </c>
      <c r="F114" s="331"/>
      <c r="G114" s="317" t="str">
        <f>VLOOKUP(G109,'Location Summary'!$C$2:$J$604,2,FALSE)</f>
        <v>DA-1.5</v>
      </c>
      <c r="H114" s="331"/>
      <c r="I114" s="317" t="str">
        <f>VLOOKUP(I109,'Location Summary'!$C$2:$J$604,2,FALSE)</f>
        <v>DA+3</v>
      </c>
      <c r="J114" s="331"/>
      <c r="K114" s="317" t="str">
        <f>VLOOKUP(K109,'Location Summary'!$C$2:$J$604,2,FALSE)</f>
        <v>DA+1.5</v>
      </c>
      <c r="L114" s="331"/>
      <c r="M114" s="317" t="str">
        <f>VLOOKUP(M109,'Location Summary'!$C$2:$J$604,2,FALSE)</f>
        <v>DA+3</v>
      </c>
      <c r="N114" s="331"/>
      <c r="O114" s="317" t="str">
        <f>VLOOKUP(O109,'Location Summary'!$C$2:$J$604,2,FALSE)</f>
        <v>DA+1.5</v>
      </c>
      <c r="P114" s="331"/>
      <c r="Q114" s="317" t="str">
        <f>VLOOKUP(Q109,'Location Summary'!$C$2:$J$604,2,FALSE)</f>
        <v>DA+1.5</v>
      </c>
      <c r="R114" s="331"/>
      <c r="S114" s="317" t="str">
        <f>VLOOKUP(S109,'Location Summary'!$C$2:$J$604,2,FALSE)</f>
        <v>DA+3</v>
      </c>
      <c r="T114" s="345"/>
      <c r="U114" s="317" t="str">
        <f>VLOOKUP(U109,'Location Summary'!$C$2:$J$604,2,FALSE)</f>
        <v>DA+1.5</v>
      </c>
      <c r="V114" s="345"/>
      <c r="W114" s="317" t="str">
        <f>VLOOKUP(W109,'Location Summary'!$C$2:$J$604,2,FALSE)</f>
        <v>DA+6</v>
      </c>
      <c r="X114" s="345"/>
      <c r="Y114" s="317" t="str">
        <f>VLOOKUP(Y109,'Location Summary'!$C$2:$J$604,2,FALSE)</f>
        <v>DA+3</v>
      </c>
      <c r="Z114" s="345"/>
      <c r="AA114" s="317" t="str">
        <f>VLOOKUP(AA109,'Location Summary'!$C$2:$J$604,2,FALSE)</f>
        <v>DA+6</v>
      </c>
      <c r="AB114" s="345"/>
      <c r="AC114" s="317" t="str">
        <f>VLOOKUP(AC109,'Location Summary'!$C$2:$J$604,2,FALSE)</f>
        <v>DB1+6</v>
      </c>
      <c r="AD114" s="345"/>
      <c r="AE114" s="317" t="str">
        <f>VLOOKUP(AE109,'Location Summary'!$C$2:$J$604,2,FALSE)</f>
        <v>DA+9</v>
      </c>
      <c r="AF114" s="345"/>
      <c r="AG114" s="317" t="str">
        <f>VLOOKUP(AG109,'Location Summary'!$C$2:$J$604,2,FALSE)</f>
        <v>DA+6</v>
      </c>
      <c r="AH114" s="345"/>
      <c r="AI114" s="317" t="str">
        <f>VLOOKUP(AI109,'Location Summary'!$C$2:$J$604,2,FALSE)</f>
        <v>DA+3</v>
      </c>
      <c r="AJ114" s="345"/>
      <c r="AK114" s="317" t="str">
        <f>VLOOKUP(AK109,'Location Summary'!$C$2:$J$604,2,FALSE)</f>
        <v>DA+6</v>
      </c>
      <c r="AL114" s="345"/>
      <c r="AM114" s="317" t="str">
        <f>VLOOKUP(AM109,'Location Summary'!$C$2:$J$604,2,FALSE)</f>
        <v>DA+9</v>
      </c>
      <c r="AN114" s="345"/>
      <c r="AO114" s="317" t="str">
        <f>VLOOKUP(AO109,'Location Summary'!$C$2:$J$604,2,FALSE)</f>
        <v>DA+9</v>
      </c>
      <c r="AP114" s="345"/>
      <c r="AQ114" s="317" t="str">
        <f>VLOOKUP(AQ109,'Location Summary'!$C$2:$J$604,2,FALSE)</f>
        <v>DA+3</v>
      </c>
      <c r="AS114" s="317" t="str">
        <f>VLOOKUP(AS109,'Location Summary'!$C$2:$J$604,2,FALSE)</f>
        <v>DA-1.5</v>
      </c>
      <c r="AT114" s="329"/>
    </row>
    <row r="115" spans="2:48" ht="15" customHeight="1">
      <c r="B115" s="348"/>
      <c r="C115" s="317"/>
      <c r="D115" s="317"/>
      <c r="E115" s="317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  <c r="AA115" s="317"/>
      <c r="AB115" s="317"/>
      <c r="AC115" s="317"/>
      <c r="AD115" s="603"/>
      <c r="AE115" s="620" t="s">
        <v>1168</v>
      </c>
      <c r="AF115" s="603"/>
      <c r="AG115" s="317"/>
      <c r="AH115" s="317"/>
      <c r="AI115" s="317"/>
      <c r="AJ115" s="317"/>
      <c r="AK115" s="346"/>
      <c r="AL115" s="317"/>
      <c r="AM115" s="346"/>
      <c r="AN115" s="317"/>
      <c r="AO115" s="346"/>
      <c r="AP115" s="317"/>
      <c r="AQ115" s="317"/>
      <c r="AR115" s="317"/>
      <c r="AS115" s="317"/>
      <c r="AT115" s="329"/>
      <c r="AV115" s="354"/>
    </row>
    <row r="116" spans="2:48" ht="15" customHeight="1">
      <c r="B116" s="348"/>
      <c r="C116" s="346">
        <f>AS108+1</f>
        <v>280</v>
      </c>
      <c r="D116" s="327"/>
      <c r="E116" s="346">
        <f>C116+1</f>
        <v>281</v>
      </c>
      <c r="F116" s="346"/>
      <c r="G116" s="346">
        <f>E116+1</f>
        <v>282</v>
      </c>
      <c r="H116" s="346"/>
      <c r="I116" s="346">
        <f>G116+1</f>
        <v>283</v>
      </c>
      <c r="J116" s="346"/>
      <c r="K116" s="346">
        <f>I116+1</f>
        <v>284</v>
      </c>
      <c r="L116" s="346"/>
      <c r="M116" s="346">
        <f>K116+1</f>
        <v>285</v>
      </c>
      <c r="N116" s="346"/>
      <c r="O116" s="346">
        <f>M116+1</f>
        <v>286</v>
      </c>
      <c r="P116" s="327"/>
      <c r="Q116" s="328">
        <f>O116+1</f>
        <v>287</v>
      </c>
      <c r="R116" s="327"/>
      <c r="S116" s="328">
        <f>Q116+1</f>
        <v>288</v>
      </c>
      <c r="T116" s="327"/>
      <c r="U116" s="328">
        <f>S116+1</f>
        <v>289</v>
      </c>
      <c r="V116" s="327"/>
      <c r="W116" s="328">
        <f>U116+1</f>
        <v>290</v>
      </c>
      <c r="X116" s="327"/>
      <c r="Y116" s="328">
        <f>W116+1</f>
        <v>291</v>
      </c>
      <c r="Z116" s="327"/>
      <c r="AA116" s="328">
        <f>Y116+1</f>
        <v>292</v>
      </c>
      <c r="AB116" s="327"/>
      <c r="AC116" s="328">
        <f>AA116+1</f>
        <v>293</v>
      </c>
      <c r="AD116" s="327"/>
      <c r="AE116" s="328">
        <f>AC116+1</f>
        <v>294</v>
      </c>
      <c r="AF116" s="327"/>
      <c r="AG116" s="328">
        <f>AE116+1</f>
        <v>295</v>
      </c>
      <c r="AH116" s="327"/>
      <c r="AI116" s="328">
        <f>AG116+1</f>
        <v>296</v>
      </c>
      <c r="AJ116" s="327"/>
      <c r="AK116" s="328">
        <f>AI116+1</f>
        <v>297</v>
      </c>
      <c r="AL116" s="327"/>
      <c r="AM116" s="346">
        <f>AK116+1</f>
        <v>298</v>
      </c>
      <c r="AO116" s="346">
        <f>AM116+1</f>
        <v>299</v>
      </c>
      <c r="AP116" s="346"/>
      <c r="AQ116" s="346">
        <v>300</v>
      </c>
      <c r="AR116" s="346"/>
      <c r="AS116" s="346">
        <v>301</v>
      </c>
      <c r="AT116" s="329"/>
    </row>
    <row r="117" spans="2:48" s="359" customFormat="1" ht="15" customHeight="1">
      <c r="B117" s="349"/>
      <c r="C117" s="351" t="s">
        <v>636</v>
      </c>
      <c r="D117" s="351"/>
      <c r="E117" s="351" t="s">
        <v>637</v>
      </c>
      <c r="F117" s="351"/>
      <c r="G117" s="351" t="s">
        <v>638</v>
      </c>
      <c r="H117" s="351"/>
      <c r="I117" s="351" t="s">
        <v>640</v>
      </c>
      <c r="J117" s="351"/>
      <c r="K117" s="351" t="s">
        <v>75</v>
      </c>
      <c r="L117" s="351"/>
      <c r="M117" s="351" t="s">
        <v>76</v>
      </c>
      <c r="N117" s="351"/>
      <c r="O117" s="351" t="s">
        <v>77</v>
      </c>
      <c r="P117" s="351"/>
      <c r="Q117" s="351" t="s">
        <v>171</v>
      </c>
      <c r="R117" s="351"/>
      <c r="S117" s="351" t="s">
        <v>172</v>
      </c>
      <c r="T117" s="351"/>
      <c r="U117" s="351" t="s">
        <v>1790</v>
      </c>
      <c r="V117" s="351"/>
      <c r="W117" s="351" t="s">
        <v>78</v>
      </c>
      <c r="X117" s="351"/>
      <c r="Y117" s="351" t="s">
        <v>644</v>
      </c>
      <c r="Z117" s="351"/>
      <c r="AA117" s="351" t="s">
        <v>645</v>
      </c>
      <c r="AB117" s="351"/>
      <c r="AC117" s="351" t="s">
        <v>646</v>
      </c>
      <c r="AD117" s="351"/>
      <c r="AE117" s="351" t="s">
        <v>647</v>
      </c>
      <c r="AF117" s="351"/>
      <c r="AG117" s="351" t="s">
        <v>1791</v>
      </c>
      <c r="AH117" s="351"/>
      <c r="AI117" s="351" t="s">
        <v>649</v>
      </c>
      <c r="AJ117" s="351"/>
      <c r="AK117" s="351" t="s">
        <v>650</v>
      </c>
      <c r="AL117" s="351"/>
      <c r="AM117" s="351" t="s">
        <v>651</v>
      </c>
      <c r="AN117" s="351"/>
      <c r="AO117" s="351" t="s">
        <v>7</v>
      </c>
      <c r="AP117" s="351"/>
      <c r="AQ117" s="351" t="s">
        <v>1240</v>
      </c>
      <c r="AR117" s="351"/>
      <c r="AS117" s="351" t="s">
        <v>1242</v>
      </c>
      <c r="AT117" s="360"/>
    </row>
    <row r="118" spans="2:48" ht="15" customHeight="1">
      <c r="B118" s="355"/>
      <c r="T118" s="317"/>
      <c r="V118" s="317"/>
      <c r="X118" s="317"/>
      <c r="Z118" s="317"/>
      <c r="AB118" s="317"/>
      <c r="AD118" s="317"/>
      <c r="AF118" s="317"/>
      <c r="AH118" s="317"/>
      <c r="AJ118" s="317"/>
      <c r="AL118" s="317"/>
      <c r="AN118" s="317"/>
      <c r="AP118" s="317"/>
      <c r="AR118" s="317"/>
      <c r="AT118" s="329"/>
    </row>
    <row r="119" spans="2:48" ht="15" customHeight="1">
      <c r="B119" s="361"/>
      <c r="AT119" s="329"/>
    </row>
    <row r="120" spans="2:48" s="370" customFormat="1" ht="20.25" customHeight="1">
      <c r="B120" s="361"/>
      <c r="C120" s="339">
        <v>3</v>
      </c>
      <c r="D120" s="340">
        <f>VLOOKUP(C117,'Location Summary'!$G$2:$H$604,2,FALSE)</f>
        <v>355</v>
      </c>
      <c r="E120" s="339">
        <v>3</v>
      </c>
      <c r="F120" s="340">
        <f>VLOOKUP(E117,'Location Summary'!$G$2:$H$604,2,FALSE)</f>
        <v>485</v>
      </c>
      <c r="G120" s="339">
        <v>3</v>
      </c>
      <c r="H120" s="340">
        <f>VLOOKUP(G117,'Location Summary'!$G$2:$H$604,2,FALSE)</f>
        <v>315</v>
      </c>
      <c r="I120" s="339">
        <v>3</v>
      </c>
      <c r="J120" s="340">
        <f>VLOOKUP(I117,'Location Summary'!$G$2:$H$604,2,FALSE)</f>
        <v>410.61</v>
      </c>
      <c r="K120" s="339">
        <v>3</v>
      </c>
      <c r="L120" s="340">
        <f>VLOOKUP(K117,'Location Summary'!$G$2:$H$604,2,FALSE)</f>
        <v>358</v>
      </c>
      <c r="M120" s="339">
        <v>3</v>
      </c>
      <c r="N120" s="340">
        <f>VLOOKUP(M117,'Location Summary'!$G$2:$H$604,2,FALSE)</f>
        <v>465.78199999999998</v>
      </c>
      <c r="O120" s="339">
        <v>3</v>
      </c>
      <c r="P120" s="340">
        <f>VLOOKUP(O117,'Location Summary'!$G$2:$H$604,2,FALSE)</f>
        <v>419.99799999999999</v>
      </c>
      <c r="Q120" s="662">
        <v>3</v>
      </c>
      <c r="R120" s="340">
        <f>VLOOKUP(Q117,'Location Summary'!$G$2:$H$604,2,FALSE)</f>
        <v>375</v>
      </c>
      <c r="S120" s="339">
        <v>3</v>
      </c>
      <c r="T120" s="340">
        <f>VLOOKUP(S117,'Location Summary'!$G$2:$H$604,2,FALSE)</f>
        <v>464</v>
      </c>
      <c r="U120" s="339">
        <v>3</v>
      </c>
      <c r="V120" s="340">
        <f>VLOOKUP(U117,'Location Summary'!$G$2:$H$604,2,FALSE)</f>
        <v>424.89100000000002</v>
      </c>
      <c r="W120" s="339">
        <v>3</v>
      </c>
      <c r="X120" s="340">
        <f>VLOOKUP(W117,'Location Summary'!$G$2:$H$604,2,FALSE)</f>
        <v>341.86599999999999</v>
      </c>
      <c r="Y120" s="363">
        <v>3</v>
      </c>
      <c r="Z120" s="340">
        <f>VLOOKUP(Y117,'Location Summary'!$G$2:$H$604,2,FALSE)</f>
        <v>375</v>
      </c>
      <c r="AA120" s="363">
        <v>3</v>
      </c>
      <c r="AB120" s="340">
        <f>VLOOKUP(AA117,'Location Summary'!$G$2:$H$604,2,FALSE)</f>
        <v>375</v>
      </c>
      <c r="AC120" s="339">
        <v>3</v>
      </c>
      <c r="AD120" s="340">
        <f>VLOOKUP(AC117,'Location Summary'!$G$2:$H$604,2,FALSE)</f>
        <v>355</v>
      </c>
      <c r="AE120" s="339">
        <v>3</v>
      </c>
      <c r="AF120" s="340">
        <f>VLOOKUP(AE117,'Location Summary'!$G$2:$H$604,2,FALSE)</f>
        <v>405</v>
      </c>
      <c r="AG120" s="339">
        <v>3</v>
      </c>
      <c r="AH120" s="340">
        <f>VLOOKUP(AG117,'Location Summary'!$G$2:$H$604,2,FALSE)</f>
        <v>375</v>
      </c>
      <c r="AI120" s="339">
        <v>3</v>
      </c>
      <c r="AJ120" s="340">
        <f>VLOOKUP(AI117,'Location Summary'!$G$2:$H$604,2,FALSE)</f>
        <v>385</v>
      </c>
      <c r="AK120" s="339">
        <v>3</v>
      </c>
      <c r="AL120" s="340">
        <f>VLOOKUP(AK117,'Location Summary'!$G$2:$H$604,2,FALSE)</f>
        <v>415</v>
      </c>
      <c r="AM120" s="339">
        <v>3</v>
      </c>
      <c r="AN120" s="340">
        <f>VLOOKUP(AM117,'Location Summary'!$G$2:$H$604,2,FALSE)</f>
        <v>409.54599999999999</v>
      </c>
      <c r="AO120" s="339">
        <v>3</v>
      </c>
      <c r="AP120" s="340">
        <f>VLOOKUP(AO117,'Location Summary'!$G$2:$H$604,2,FALSE)</f>
        <v>400</v>
      </c>
      <c r="AQ120" s="737">
        <v>3</v>
      </c>
      <c r="AR120" s="340">
        <f>VLOOKUP(AQ117,'Location Summary'!$G$2:$H$678,2,FALSE)</f>
        <v>427</v>
      </c>
      <c r="AS120" s="737">
        <v>3</v>
      </c>
      <c r="AT120" s="340">
        <f>VLOOKUP(AS117,'Location Summary'!$G$2:$H$678,2,FALSE)</f>
        <v>366</v>
      </c>
    </row>
    <row r="121" spans="2:48" s="370" customFormat="1" ht="15" customHeight="1">
      <c r="B121" s="367"/>
      <c r="C121" s="344">
        <v>2</v>
      </c>
      <c r="D121" s="313"/>
      <c r="E121" s="344">
        <v>2</v>
      </c>
      <c r="F121" s="313"/>
      <c r="G121" s="344">
        <v>2</v>
      </c>
      <c r="H121" s="313"/>
      <c r="I121" s="344">
        <v>2</v>
      </c>
      <c r="J121" s="313"/>
      <c r="K121" s="344">
        <v>2</v>
      </c>
      <c r="L121" s="313"/>
      <c r="M121" s="344">
        <v>2</v>
      </c>
      <c r="N121" s="313"/>
      <c r="O121" s="344">
        <v>2</v>
      </c>
      <c r="P121" s="313"/>
      <c r="Q121" s="344">
        <v>2</v>
      </c>
      <c r="R121" s="313"/>
      <c r="S121" s="344">
        <v>2</v>
      </c>
      <c r="T121" s="313"/>
      <c r="U121" s="344">
        <v>2</v>
      </c>
      <c r="V121" s="313"/>
      <c r="W121" s="344">
        <v>2</v>
      </c>
      <c r="X121" s="313"/>
      <c r="Y121" s="344">
        <v>2</v>
      </c>
      <c r="Z121" s="313"/>
      <c r="AA121" s="344">
        <v>2</v>
      </c>
      <c r="AB121" s="313"/>
      <c r="AC121" s="344">
        <v>2</v>
      </c>
      <c r="AD121" s="313"/>
      <c r="AE121" s="344">
        <v>2</v>
      </c>
      <c r="AF121" s="313"/>
      <c r="AG121" s="344">
        <v>2</v>
      </c>
      <c r="AH121" s="313"/>
      <c r="AI121" s="344">
        <v>2</v>
      </c>
      <c r="AJ121" s="313"/>
      <c r="AK121" s="344">
        <v>2</v>
      </c>
      <c r="AL121" s="313"/>
      <c r="AM121" s="344">
        <v>2</v>
      </c>
      <c r="AN121" s="313"/>
      <c r="AO121" s="344">
        <v>2</v>
      </c>
      <c r="AP121" s="313"/>
      <c r="AQ121" s="364">
        <v>2</v>
      </c>
      <c r="AR121" s="313"/>
      <c r="AS121" s="364">
        <v>2</v>
      </c>
      <c r="AT121" s="329"/>
    </row>
    <row r="122" spans="2:48" ht="15" customHeight="1">
      <c r="B122" s="355"/>
      <c r="C122" s="317" t="str">
        <f>VLOOKUP(C117,'Location Summary'!$C$2:$J$604,2,FALSE)</f>
        <v>DA+9</v>
      </c>
      <c r="D122" s="331"/>
      <c r="E122" s="317" t="str">
        <f>VLOOKUP(E117,'Location Summary'!$C$2:$J$604,2,FALSE)</f>
        <v>DA+3</v>
      </c>
      <c r="F122" s="331"/>
      <c r="G122" s="317" t="str">
        <f>VLOOKUP(G117,'Location Summary'!$C$2:$J$604,2,FALSE)</f>
        <v>DA+9</v>
      </c>
      <c r="H122" s="331"/>
      <c r="I122" s="317" t="str">
        <f>VLOOKUP(I117,'Location Summary'!$C$2:$J$604,2,FALSE)</f>
        <v>DB1+9</v>
      </c>
      <c r="J122" s="331"/>
      <c r="K122" s="317" t="str">
        <f>VLOOKUP(K117,'Location Summary'!$C$2:$J$604,2,FALSE)</f>
        <v>DB1+9</v>
      </c>
      <c r="L122" s="331"/>
      <c r="M122" s="317" t="str">
        <f>VLOOKUP(M117,'Location Summary'!$C$2:$J$604,2,FALSE)</f>
        <v>DA+9</v>
      </c>
      <c r="N122" s="331"/>
      <c r="O122" s="317" t="str">
        <f>VLOOKUP(O117,'Location Summary'!$C$2:$J$604,2,FALSE)</f>
        <v>DB2+0</v>
      </c>
      <c r="P122" s="331"/>
      <c r="Q122" s="317" t="str">
        <f>VLOOKUP(Q117,'Location Summary'!$C$2:$J$604,2,FALSE)</f>
        <v>DA+3</v>
      </c>
      <c r="R122" s="331"/>
      <c r="S122" s="317" t="str">
        <f>VLOOKUP(S117,'Location Summary'!$C$2:$J$604,2,FALSE)</f>
        <v>DA+9</v>
      </c>
      <c r="T122" s="345"/>
      <c r="U122" s="317" t="str">
        <f>VLOOKUP(U117,'Location Summary'!$C$2:$J$604,2,FALSE)</f>
        <v>DB1+9</v>
      </c>
      <c r="V122" s="345"/>
      <c r="W122" s="317" t="str">
        <f>VLOOKUP(W117,'Location Summary'!$C$2:$J$604,2,FALSE)</f>
        <v>DB1+0</v>
      </c>
      <c r="X122" s="345"/>
      <c r="Y122" s="317" t="str">
        <f>VLOOKUP(Y117,'Location Summary'!$C$2:$J$604,2,FALSE)</f>
        <v>DA-1.5</v>
      </c>
      <c r="Z122" s="345"/>
      <c r="AA122" s="317" t="str">
        <f>VLOOKUP(AA117,'Location Summary'!$C$2:$J$604,2,FALSE)</f>
        <v>DA+6</v>
      </c>
      <c r="AB122" s="345"/>
      <c r="AC122" s="317" t="str">
        <f>VLOOKUP(AC117,'Location Summary'!$C$2:$J$604,2,FALSE)</f>
        <v>DA-1.5</v>
      </c>
      <c r="AD122" s="345"/>
      <c r="AE122" s="317" t="str">
        <f>VLOOKUP(AE117,'Location Summary'!$C$2:$J$604,2,FALSE)</f>
        <v>DA+0</v>
      </c>
      <c r="AF122" s="345"/>
      <c r="AG122" s="317" t="str">
        <f>VLOOKUP(AG117,'Location Summary'!$C$2:$J$604,2,FALSE)</f>
        <v>DC2+0</v>
      </c>
      <c r="AH122" s="345"/>
      <c r="AI122" s="317" t="str">
        <f>VLOOKUP(AI117,'Location Summary'!$C$2:$J$604,2,FALSE)</f>
        <v>DA+3</v>
      </c>
      <c r="AJ122" s="345"/>
      <c r="AK122" s="317" t="str">
        <f>VLOOKUP(AK117,'Location Summary'!$C$2:$J$604,2,FALSE)</f>
        <v>DA+0</v>
      </c>
      <c r="AL122" s="345"/>
      <c r="AM122" s="317" t="str">
        <f>VLOOKUP(AM117,'Location Summary'!$C$2:$J$604,2,FALSE)</f>
        <v>DA+9</v>
      </c>
      <c r="AN122" s="345"/>
      <c r="AO122" s="317" t="str">
        <f>VLOOKUP(AO117,'Location Summary'!$C$2:$J$604,2,FALSE)</f>
        <v>DB1+6</v>
      </c>
      <c r="AP122" s="345"/>
      <c r="AQ122" s="317" t="str">
        <f>VLOOKUP(AQ117,'Location Summary'!$C$2:$J$604,2,FALSE)</f>
        <v>DA+3</v>
      </c>
      <c r="AS122" s="317" t="str">
        <f>VLOOKUP(AS117,'Location Summary'!$C$2:$J$678,2,FALSE)</f>
        <v>DA+3</v>
      </c>
      <c r="AT122" s="329"/>
    </row>
    <row r="123" spans="2:48" ht="15" customHeight="1">
      <c r="B123" s="355"/>
      <c r="C123" s="317"/>
      <c r="D123" s="331"/>
      <c r="E123" s="317"/>
      <c r="F123" s="331"/>
      <c r="G123" s="317"/>
      <c r="H123" s="331"/>
      <c r="I123" s="317"/>
      <c r="J123" s="331"/>
      <c r="K123" s="317"/>
      <c r="L123" s="331"/>
      <c r="M123" s="317"/>
      <c r="N123" s="331"/>
      <c r="O123" s="317"/>
      <c r="P123" s="331"/>
      <c r="Q123" s="317"/>
      <c r="R123" s="331"/>
      <c r="S123" s="317"/>
      <c r="T123" s="345"/>
      <c r="U123" s="317"/>
      <c r="V123" s="345"/>
      <c r="W123" s="346"/>
      <c r="X123" s="345"/>
      <c r="Y123" s="346"/>
      <c r="Z123" s="345"/>
      <c r="AA123" s="317"/>
      <c r="AB123" s="345"/>
      <c r="AC123" s="317"/>
      <c r="AD123" s="345"/>
      <c r="AE123" s="317"/>
      <c r="AF123" s="1556" t="s">
        <v>1276</v>
      </c>
      <c r="AG123" s="1556"/>
      <c r="AH123" s="1556"/>
      <c r="AI123" s="317"/>
      <c r="AJ123" s="345"/>
      <c r="AK123" s="346"/>
      <c r="AL123" s="345"/>
      <c r="AM123" s="317"/>
      <c r="AN123" s="345"/>
      <c r="AO123" s="957"/>
      <c r="AP123" s="345"/>
      <c r="AQ123" s="345"/>
      <c r="AR123" s="345"/>
      <c r="AS123" s="345"/>
      <c r="AT123" s="329"/>
      <c r="AV123" s="354"/>
    </row>
    <row r="124" spans="2:48" ht="15" customHeight="1">
      <c r="B124" s="348"/>
      <c r="C124" s="346">
        <v>302</v>
      </c>
      <c r="D124" s="346"/>
      <c r="E124" s="346">
        <v>303</v>
      </c>
      <c r="F124" s="346"/>
      <c r="G124" s="346">
        <v>304</v>
      </c>
      <c r="H124" s="346"/>
      <c r="I124" s="346">
        <v>305</v>
      </c>
      <c r="J124" s="346"/>
      <c r="K124" s="346">
        <v>306</v>
      </c>
      <c r="L124" s="346"/>
      <c r="M124" s="346" t="s">
        <v>691</v>
      </c>
      <c r="P124" s="327"/>
      <c r="Q124" s="328"/>
      <c r="R124" s="327"/>
      <c r="S124" s="328"/>
      <c r="T124" s="327"/>
      <c r="U124" s="328"/>
      <c r="V124" s="327"/>
      <c r="W124" s="328"/>
      <c r="X124" s="327"/>
      <c r="Y124" s="328"/>
      <c r="Z124" s="327"/>
      <c r="AA124" s="328"/>
      <c r="AB124" s="327"/>
      <c r="AC124" s="328"/>
      <c r="AD124" s="327"/>
      <c r="AE124" s="328"/>
      <c r="AF124" s="327"/>
      <c r="AG124" s="328"/>
      <c r="AH124" s="327"/>
      <c r="AI124" s="328"/>
      <c r="AJ124" s="327"/>
      <c r="AK124" s="328"/>
      <c r="AL124" s="327"/>
      <c r="AM124" s="346"/>
      <c r="AO124" s="346"/>
      <c r="AP124" s="346"/>
      <c r="AR124" s="346"/>
      <c r="AS124" s="346"/>
      <c r="AT124" s="329"/>
    </row>
    <row r="125" spans="2:48" s="359" customFormat="1" ht="15" customHeight="1">
      <c r="B125" s="349"/>
      <c r="C125" s="351" t="s">
        <v>1243</v>
      </c>
      <c r="D125" s="351"/>
      <c r="E125" s="351" t="s">
        <v>1244</v>
      </c>
      <c r="F125" s="351"/>
      <c r="G125" s="351" t="s">
        <v>1245</v>
      </c>
      <c r="H125" s="351"/>
      <c r="I125" s="351" t="s">
        <v>1246</v>
      </c>
      <c r="J125" s="351"/>
      <c r="K125" s="351" t="s">
        <v>1247</v>
      </c>
      <c r="L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51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60"/>
    </row>
    <row r="126" spans="2:48" ht="15" customHeight="1">
      <c r="B126" s="355"/>
      <c r="J126" s="754" t="s">
        <v>1249</v>
      </c>
      <c r="T126" s="317"/>
      <c r="V126" s="317"/>
      <c r="X126" s="317"/>
      <c r="Z126" s="317"/>
      <c r="AB126" s="317"/>
      <c r="AD126" s="317"/>
      <c r="AF126" s="317"/>
      <c r="AH126" s="317"/>
      <c r="AJ126" s="317"/>
      <c r="AL126" s="317"/>
      <c r="AN126" s="317"/>
      <c r="AP126" s="317"/>
      <c r="AR126" s="317"/>
      <c r="AT126" s="329"/>
    </row>
    <row r="127" spans="2:48" ht="15" customHeight="1">
      <c r="B127" s="361"/>
      <c r="AT127" s="329"/>
    </row>
    <row r="128" spans="2:48" s="370" customFormat="1" ht="20.25" customHeight="1">
      <c r="B128" s="361"/>
      <c r="C128" s="339">
        <v>3</v>
      </c>
      <c r="D128" s="340">
        <f>VLOOKUP(C125,'Location Summary'!$G$2:$H$678,2,FALSE)</f>
        <v>350</v>
      </c>
      <c r="E128" s="339">
        <v>3</v>
      </c>
      <c r="F128" s="340">
        <f>VLOOKUP(E125,'Location Summary'!$G$2:$H$678,2,FALSE)</f>
        <v>383</v>
      </c>
      <c r="G128" s="339">
        <v>3</v>
      </c>
      <c r="H128" s="340">
        <f>VLOOKUP(G125,'Location Summary'!$G$2:$H$678,2,FALSE)</f>
        <v>457.15499999999997</v>
      </c>
      <c r="I128" s="339">
        <v>3</v>
      </c>
      <c r="J128" s="340">
        <f>VLOOKUP(I125,'Location Summary'!$G$2:$H$678,2,FALSE)</f>
        <v>208.53</v>
      </c>
      <c r="K128" s="339">
        <v>3</v>
      </c>
      <c r="L128" s="340"/>
      <c r="M128" s="765"/>
      <c r="P128" s="340"/>
      <c r="Q128" s="751"/>
      <c r="R128" s="340"/>
      <c r="S128" s="388"/>
      <c r="T128" s="340"/>
      <c r="U128" s="388"/>
      <c r="V128" s="340"/>
      <c r="W128" s="388"/>
      <c r="X128" s="340"/>
      <c r="Y128" s="752"/>
      <c r="Z128" s="340"/>
      <c r="AA128" s="752"/>
      <c r="AB128" s="340"/>
      <c r="AC128" s="388"/>
      <c r="AD128" s="340"/>
      <c r="AE128" s="388"/>
      <c r="AF128" s="340"/>
      <c r="AG128" s="388"/>
      <c r="AH128" s="340"/>
      <c r="AI128" s="388"/>
      <c r="AJ128" s="340"/>
      <c r="AK128" s="388"/>
      <c r="AL128" s="340"/>
      <c r="AM128" s="388"/>
      <c r="AN128" s="340"/>
      <c r="AO128" s="388"/>
      <c r="AP128" s="340"/>
      <c r="AQ128" s="753"/>
      <c r="AR128" s="340"/>
      <c r="AS128" s="388"/>
      <c r="AT128" s="341"/>
    </row>
    <row r="129" spans="2:50" s="370" customFormat="1" ht="15" customHeight="1">
      <c r="B129" s="367"/>
      <c r="C129" s="344">
        <v>2</v>
      </c>
      <c r="D129" s="313"/>
      <c r="E129" s="344">
        <v>2</v>
      </c>
      <c r="F129" s="313"/>
      <c r="G129" s="344">
        <v>2</v>
      </c>
      <c r="H129" s="313"/>
      <c r="I129" s="344">
        <v>2</v>
      </c>
      <c r="J129" s="313"/>
      <c r="K129" s="344">
        <v>2</v>
      </c>
      <c r="L129" s="313"/>
      <c r="M129" s="766"/>
      <c r="P129" s="313"/>
      <c r="Q129" s="388"/>
      <c r="R129" s="313"/>
      <c r="S129" s="388"/>
      <c r="T129" s="313"/>
      <c r="U129" s="388"/>
      <c r="V129" s="313"/>
      <c r="W129" s="388"/>
      <c r="X129" s="313"/>
      <c r="Y129" s="388"/>
      <c r="Z129" s="313"/>
      <c r="AA129" s="388"/>
      <c r="AB129" s="313"/>
      <c r="AC129" s="388"/>
      <c r="AD129" s="313"/>
      <c r="AE129" s="388"/>
      <c r="AF129" s="313"/>
      <c r="AG129" s="388"/>
      <c r="AH129" s="313"/>
      <c r="AI129" s="388"/>
      <c r="AJ129" s="313"/>
      <c r="AK129" s="388"/>
      <c r="AL129" s="313"/>
      <c r="AM129" s="388"/>
      <c r="AN129" s="313"/>
      <c r="AO129" s="388"/>
      <c r="AP129" s="313"/>
      <c r="AQ129" s="753"/>
      <c r="AR129" s="313"/>
      <c r="AS129" s="388"/>
      <c r="AT129" s="329"/>
    </row>
    <row r="130" spans="2:50" ht="15" customHeight="1">
      <c r="B130" s="355"/>
      <c r="C130" s="317" t="str">
        <f>VLOOKUP(C125,'Location Summary'!$C$2:$J$678,2,FALSE)</f>
        <v>DA+3</v>
      </c>
      <c r="D130" s="331"/>
      <c r="E130" s="317" t="str">
        <f>VLOOKUP(E125,'Location Summary'!$C$2:$J$678,2,FALSE)</f>
        <v>DA+0</v>
      </c>
      <c r="F130" s="331"/>
      <c r="G130" s="317" t="str">
        <f>VLOOKUP(G125,'Location Summary'!$C$2:$J$678,2,FALSE)</f>
        <v>DA+0</v>
      </c>
      <c r="H130" s="331"/>
      <c r="I130" s="317" t="str">
        <f>VLOOKUP(I125,'Location Summary'!$C$2:$J$678,2,FALSE)</f>
        <v>DB1+9</v>
      </c>
      <c r="J130" s="331"/>
      <c r="K130" s="317" t="str">
        <f>VLOOKUP(K125,'Location Summary'!$C$2:$J$678,2,FALSE)</f>
        <v>DB1+12</v>
      </c>
      <c r="L130" s="331"/>
      <c r="M130" s="317"/>
      <c r="P130" s="331"/>
      <c r="Q130" s="317"/>
      <c r="R130" s="331"/>
      <c r="S130" s="317"/>
      <c r="T130" s="345"/>
      <c r="U130" s="317"/>
      <c r="V130" s="345"/>
      <c r="W130" s="317"/>
      <c r="X130" s="345"/>
      <c r="Y130" s="317"/>
      <c r="Z130" s="345"/>
      <c r="AA130" s="317"/>
      <c r="AB130" s="345"/>
      <c r="AC130" s="317"/>
      <c r="AD130" s="345"/>
      <c r="AE130" s="317"/>
      <c r="AF130" s="345"/>
      <c r="AG130" s="317"/>
      <c r="AH130" s="345"/>
      <c r="AI130" s="317"/>
      <c r="AJ130" s="345"/>
      <c r="AK130" s="317"/>
      <c r="AL130" s="345"/>
      <c r="AM130" s="317"/>
      <c r="AN130" s="345"/>
      <c r="AO130" s="317"/>
      <c r="AP130" s="345"/>
      <c r="AQ130" s="317"/>
      <c r="AS130" s="317"/>
      <c r="AT130" s="329"/>
    </row>
    <row r="131" spans="2:50" ht="16.5" customHeight="1" thickBot="1">
      <c r="B131" s="664"/>
      <c r="C131" s="346"/>
      <c r="D131" s="375"/>
      <c r="E131" s="375"/>
      <c r="F131" s="375"/>
      <c r="G131" s="375"/>
      <c r="H131" s="375"/>
      <c r="I131" s="346"/>
      <c r="J131" s="375"/>
      <c r="K131" s="989" t="s">
        <v>1431</v>
      </c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  <c r="AA131" s="375"/>
      <c r="AB131" s="389"/>
      <c r="AC131" s="375"/>
      <c r="AD131" s="390"/>
      <c r="AE131" s="375"/>
      <c r="AF131" s="389"/>
      <c r="AH131" s="375"/>
      <c r="AI131" s="375"/>
      <c r="AJ131" s="375"/>
      <c r="AK131" s="375"/>
      <c r="AL131" s="391"/>
      <c r="AM131" s="375"/>
      <c r="AN131" s="391"/>
      <c r="AO131" s="375"/>
      <c r="AP131" s="391"/>
      <c r="AQ131" s="375"/>
      <c r="AR131" s="391"/>
      <c r="AS131" s="389"/>
      <c r="AT131" s="376"/>
      <c r="AV131" s="354"/>
    </row>
    <row r="132" spans="2:50" ht="16.5" customHeight="1">
      <c r="C132" s="1512" t="s">
        <v>953</v>
      </c>
      <c r="D132" s="1512"/>
      <c r="E132" s="1512"/>
      <c r="F132" s="1512"/>
      <c r="G132" s="1512"/>
      <c r="H132" s="1512"/>
      <c r="I132" s="1512"/>
      <c r="J132" s="1512"/>
      <c r="K132" s="1512"/>
      <c r="L132" s="1512"/>
      <c r="M132" s="1512"/>
      <c r="N132" s="394"/>
      <c r="O132" s="394"/>
      <c r="P132" s="394"/>
      <c r="Q132" s="394"/>
      <c r="R132" s="394"/>
      <c r="S132" s="394"/>
      <c r="T132" s="394"/>
      <c r="U132" s="394"/>
      <c r="V132" s="394"/>
      <c r="W132" s="392"/>
      <c r="X132" s="392"/>
      <c r="Y132" s="393"/>
      <c r="Z132" s="393"/>
      <c r="AA132" s="393"/>
      <c r="AB132" s="393"/>
      <c r="AC132" s="393"/>
      <c r="AD132" s="393"/>
      <c r="AE132" s="393"/>
      <c r="AF132" s="393"/>
      <c r="AG132" s="393"/>
      <c r="AH132" s="395"/>
    </row>
    <row r="133" spans="2:50">
      <c r="C133" s="1513" t="s">
        <v>954</v>
      </c>
      <c r="D133" s="1514"/>
      <c r="E133" s="1517" t="s">
        <v>955</v>
      </c>
      <c r="F133" s="1518"/>
      <c r="G133" s="1507" t="s">
        <v>956</v>
      </c>
      <c r="H133" s="1508"/>
      <c r="I133" s="1509"/>
      <c r="J133" s="1507" t="s">
        <v>297</v>
      </c>
      <c r="K133" s="1508"/>
      <c r="L133" s="1508"/>
      <c r="M133" s="1509"/>
      <c r="O133" s="651"/>
    </row>
    <row r="134" spans="2:50" ht="15.75" customHeight="1">
      <c r="C134" s="1515"/>
      <c r="D134" s="1516"/>
      <c r="E134" s="1519"/>
      <c r="F134" s="1520"/>
      <c r="G134" s="1525" t="s">
        <v>957</v>
      </c>
      <c r="H134" s="1526"/>
      <c r="I134" s="396" t="s">
        <v>973</v>
      </c>
      <c r="J134" s="1525" t="s">
        <v>957</v>
      </c>
      <c r="K134" s="1526"/>
      <c r="L134" s="1525" t="s">
        <v>0</v>
      </c>
      <c r="M134" s="1526"/>
      <c r="P134" s="1500" t="s">
        <v>1272</v>
      </c>
      <c r="Q134" s="1500"/>
      <c r="R134" s="1500"/>
      <c r="S134" s="1500"/>
      <c r="T134" s="1500"/>
      <c r="U134" s="1500"/>
      <c r="V134" s="1500"/>
      <c r="W134" s="1500"/>
      <c r="X134" s="1500"/>
      <c r="Y134" s="1500"/>
      <c r="Z134" s="1500"/>
      <c r="AA134" s="1500"/>
      <c r="AB134" s="1500"/>
      <c r="AC134" s="1500"/>
      <c r="AD134" s="1500"/>
      <c r="AE134" s="1500"/>
      <c r="AG134" s="1500" t="s">
        <v>1603</v>
      </c>
      <c r="AH134" s="1500"/>
      <c r="AI134" s="1500"/>
      <c r="AJ134" s="1500"/>
      <c r="AK134" s="1500"/>
      <c r="AL134" s="1500"/>
      <c r="AM134" s="1500"/>
      <c r="AN134" s="1500"/>
      <c r="AO134" s="1500"/>
      <c r="AP134" s="1500"/>
      <c r="AQ134" s="1500"/>
      <c r="AR134" s="1500"/>
      <c r="AS134" s="1500"/>
      <c r="AT134" s="1500"/>
    </row>
    <row r="135" spans="2:50" ht="17.25" customHeight="1">
      <c r="C135" s="1510" t="s">
        <v>4</v>
      </c>
      <c r="D135" s="1511"/>
      <c r="E135" s="1523">
        <f>+COUNTIF('Location Summary'!$D$4:$D$616,'Visual Chart'!C135)</f>
        <v>12</v>
      </c>
      <c r="F135" s="1524"/>
      <c r="G135" s="1551">
        <f>+COUNTIFS('Location Summary'!$D$4:$D$616,'Visual Chart'!C135,'Location Summary'!$K$4:$K$616,"Completed")</f>
        <v>12</v>
      </c>
      <c r="H135" s="1552"/>
      <c r="I135" s="936">
        <f>E135-G135</f>
        <v>0</v>
      </c>
      <c r="J135" s="1553">
        <f>+COUNTIFS('Location Summary'!$D$4:$D$616,'Visual Chart'!C135,'Location Summary'!$M$4:$M$616,"Completed")</f>
        <v>12</v>
      </c>
      <c r="K135" s="1552"/>
      <c r="L135" s="1553">
        <f>G135-J135</f>
        <v>0</v>
      </c>
      <c r="M135" s="1552"/>
      <c r="AI135" s="1466" t="s">
        <v>1604</v>
      </c>
      <c r="AJ135" s="1466"/>
      <c r="AK135" s="1466"/>
      <c r="AL135" s="1466"/>
      <c r="AM135" s="1466"/>
      <c r="AN135" s="1466"/>
      <c r="AP135" s="1466" t="s">
        <v>1605</v>
      </c>
      <c r="AQ135" s="1466"/>
      <c r="AR135" s="1466"/>
      <c r="AS135" s="1466"/>
      <c r="AT135" s="1466"/>
    </row>
    <row r="136" spans="2:50" ht="21" customHeight="1">
      <c r="C136" s="1503" t="s">
        <v>154</v>
      </c>
      <c r="D136" s="1504"/>
      <c r="E136" s="1505">
        <f>+COUNTIF('Location Summary'!$D$4:$D$616,'Visual Chart'!C136)</f>
        <v>12</v>
      </c>
      <c r="F136" s="1506"/>
      <c r="G136" s="1521">
        <f>+COUNTIFS('Location Summary'!$D$4:$D$616,'Visual Chart'!C136,'Location Summary'!$K$4:$K$616,"Completed")</f>
        <v>12</v>
      </c>
      <c r="H136" s="1522"/>
      <c r="I136" s="397">
        <f t="shared" ref="I136:I164" si="0">E136-G136</f>
        <v>0</v>
      </c>
      <c r="J136" s="1469">
        <f>+COUNTIFS('Location Summary'!$D$4:$D$616,'Visual Chart'!C136,'Location Summary'!$M$4:$M$616,"Completed")</f>
        <v>12</v>
      </c>
      <c r="K136" s="1470"/>
      <c r="L136" s="1469">
        <f t="shared" ref="L136:L164" si="1">G136-J136</f>
        <v>0</v>
      </c>
      <c r="M136" s="1470"/>
      <c r="P136" s="1497" t="s">
        <v>1238</v>
      </c>
      <c r="Q136" s="1498"/>
      <c r="R136" s="1498"/>
      <c r="S136" s="1498"/>
      <c r="T136" s="1498"/>
      <c r="U136" s="1498"/>
      <c r="V136" s="1499"/>
      <c r="W136" s="748"/>
      <c r="X136" s="1501" t="s">
        <v>1239</v>
      </c>
      <c r="Y136" s="1501"/>
      <c r="Z136" s="1501"/>
      <c r="AA136" s="1501"/>
      <c r="AB136" s="1501"/>
      <c r="AC136" s="1501"/>
      <c r="AD136" s="1501"/>
      <c r="AE136" s="1501"/>
      <c r="AI136" s="1467" t="s">
        <v>1607</v>
      </c>
      <c r="AJ136" s="1467"/>
      <c r="AK136" s="1557" t="s">
        <v>1606</v>
      </c>
      <c r="AL136" s="1558"/>
      <c r="AM136" s="1467" t="s">
        <v>958</v>
      </c>
      <c r="AN136" s="1467"/>
      <c r="AP136" s="1467" t="s">
        <v>1607</v>
      </c>
      <c r="AQ136" s="1467"/>
      <c r="AR136" s="1467" t="s">
        <v>1606</v>
      </c>
      <c r="AS136" s="1467"/>
      <c r="AT136" s="1467" t="s">
        <v>958</v>
      </c>
      <c r="AU136" s="1467"/>
    </row>
    <row r="137" spans="2:50" ht="14.25" customHeight="1">
      <c r="C137" s="1503" t="s">
        <v>3</v>
      </c>
      <c r="D137" s="1504"/>
      <c r="E137" s="1505">
        <f>+COUNTIF('Location Summary'!$D$4:$D$616,'Visual Chart'!C137)</f>
        <v>33</v>
      </c>
      <c r="F137" s="1506"/>
      <c r="G137" s="1471">
        <f>+COUNTIFS('Location Summary'!$D$4:$D$616,'Visual Chart'!C137,'Location Summary'!$K$4:$K$616,"Completed")</f>
        <v>33</v>
      </c>
      <c r="H137" s="1470"/>
      <c r="I137" s="397">
        <f t="shared" si="0"/>
        <v>0</v>
      </c>
      <c r="J137" s="1469">
        <f>+COUNTIFS('Location Summary'!$D$4:$D$616,'Visual Chart'!C137,'Location Summary'!$M$4:$M$616,"Completed")</f>
        <v>33</v>
      </c>
      <c r="K137" s="1470"/>
      <c r="L137" s="1469">
        <f t="shared" si="1"/>
        <v>0</v>
      </c>
      <c r="M137" s="1470"/>
      <c r="P137" s="1502" t="s">
        <v>1236</v>
      </c>
      <c r="Q137" s="1495"/>
      <c r="R137" s="1495"/>
      <c r="S137" s="1495"/>
      <c r="T137" s="1495"/>
      <c r="U137" s="1495">
        <v>15</v>
      </c>
      <c r="V137" s="1496"/>
      <c r="W137" s="748"/>
      <c r="X137" s="1494" t="s">
        <v>1236</v>
      </c>
      <c r="Y137" s="1494"/>
      <c r="Z137" s="1494"/>
      <c r="AA137" s="1494"/>
      <c r="AB137" s="1494"/>
      <c r="AC137" s="1494"/>
      <c r="AD137" s="1494">
        <v>15</v>
      </c>
      <c r="AE137" s="1494"/>
      <c r="AI137" s="1468" t="s">
        <v>1072</v>
      </c>
      <c r="AJ137" s="1468"/>
      <c r="AK137" s="1468" t="s">
        <v>2</v>
      </c>
      <c r="AL137" s="1468"/>
      <c r="AM137" s="1468"/>
      <c r="AN137" s="1468"/>
      <c r="AP137" s="1468" t="s">
        <v>1072</v>
      </c>
      <c r="AQ137" s="1468"/>
      <c r="AR137" s="1468" t="s">
        <v>2</v>
      </c>
      <c r="AS137" s="1468"/>
      <c r="AT137" s="1468"/>
      <c r="AU137" s="1468"/>
    </row>
    <row r="138" spans="2:50" ht="14.25" customHeight="1">
      <c r="C138" s="1503" t="s">
        <v>170</v>
      </c>
      <c r="D138" s="1504"/>
      <c r="E138" s="1505">
        <f>+COUNTIF('Location Summary'!$D$4:$D$616,'Visual Chart'!C138)</f>
        <v>24</v>
      </c>
      <c r="F138" s="1506"/>
      <c r="G138" s="1471">
        <f>+COUNTIFS('Location Summary'!$D$4:$D$616,'Visual Chart'!C138,'Location Summary'!$K$4:$K$616,"Completed")</f>
        <v>24</v>
      </c>
      <c r="H138" s="1470"/>
      <c r="I138" s="397">
        <f t="shared" si="0"/>
        <v>0</v>
      </c>
      <c r="J138" s="1469">
        <f>+COUNTIFS('Location Summary'!$D$4:$D$616,'Visual Chart'!C138,'Location Summary'!$M$4:$M$616,"Completed")</f>
        <v>24</v>
      </c>
      <c r="K138" s="1470"/>
      <c r="L138" s="1469">
        <f t="shared" si="1"/>
        <v>0</v>
      </c>
      <c r="M138" s="1470"/>
      <c r="P138" s="1502" t="s">
        <v>391</v>
      </c>
      <c r="Q138" s="1495"/>
      <c r="R138" s="1495"/>
      <c r="S138" s="1495"/>
      <c r="T138" s="1495"/>
      <c r="U138" s="1495">
        <v>1</v>
      </c>
      <c r="V138" s="1496"/>
      <c r="W138" s="748"/>
      <c r="X138" s="1494" t="s">
        <v>391</v>
      </c>
      <c r="Y138" s="1494"/>
      <c r="Z138" s="1494"/>
      <c r="AA138" s="1494"/>
      <c r="AB138" s="1494"/>
      <c r="AC138" s="1494"/>
      <c r="AD138" s="1494">
        <v>1</v>
      </c>
      <c r="AE138" s="1494"/>
      <c r="AI138" s="1468"/>
      <c r="AJ138" s="1468"/>
      <c r="AK138" s="1468"/>
      <c r="AL138" s="1468"/>
      <c r="AM138" s="1468">
        <v>389</v>
      </c>
      <c r="AN138" s="1468"/>
      <c r="AP138" s="1468"/>
      <c r="AQ138" s="1468"/>
      <c r="AR138" s="1468"/>
      <c r="AS138" s="1468"/>
      <c r="AT138" s="1468">
        <v>375.69</v>
      </c>
      <c r="AU138" s="1468"/>
      <c r="AV138" s="1118"/>
      <c r="AW138" s="1118"/>
      <c r="AX138" s="1118"/>
    </row>
    <row r="139" spans="2:50" ht="14.25" customHeight="1">
      <c r="C139" s="1503" t="s">
        <v>2</v>
      </c>
      <c r="D139" s="1504"/>
      <c r="E139" s="1505">
        <f>+COUNTIF('Location Summary'!$D$4:$D$616,'Visual Chart'!C139)</f>
        <v>69</v>
      </c>
      <c r="F139" s="1506"/>
      <c r="G139" s="1471">
        <f>+COUNTIFS('Location Summary'!$D$4:$D$616,'Visual Chart'!C139,'Location Summary'!$K$4:$K$616,"Completed")</f>
        <v>69</v>
      </c>
      <c r="H139" s="1470"/>
      <c r="I139" s="397">
        <f t="shared" si="0"/>
        <v>0</v>
      </c>
      <c r="J139" s="1469">
        <f>+COUNTIFS('Location Summary'!$D$4:$D$616,'Visual Chart'!C139,'Location Summary'!$M$4:$M$616,"Completed")</f>
        <v>69</v>
      </c>
      <c r="K139" s="1470"/>
      <c r="L139" s="1469">
        <f t="shared" si="1"/>
        <v>0</v>
      </c>
      <c r="M139" s="1470"/>
      <c r="P139" s="1502" t="s">
        <v>390</v>
      </c>
      <c r="Q139" s="1495"/>
      <c r="R139" s="1495"/>
      <c r="S139" s="1495"/>
      <c r="T139" s="1495"/>
      <c r="U139" s="1495">
        <v>1</v>
      </c>
      <c r="V139" s="1496"/>
      <c r="W139" s="748"/>
      <c r="X139" s="1494" t="s">
        <v>390</v>
      </c>
      <c r="Y139" s="1494"/>
      <c r="Z139" s="1494"/>
      <c r="AA139" s="1494"/>
      <c r="AB139" s="1494"/>
      <c r="AC139" s="1494"/>
      <c r="AD139" s="1494">
        <v>1</v>
      </c>
      <c r="AE139" s="1494"/>
      <c r="AI139" s="1468" t="s">
        <v>1073</v>
      </c>
      <c r="AJ139" s="1468"/>
      <c r="AK139" s="1468" t="s">
        <v>49</v>
      </c>
      <c r="AL139" s="1468"/>
      <c r="AM139" s="1468"/>
      <c r="AN139" s="1468"/>
      <c r="AP139" s="1468" t="s">
        <v>1602</v>
      </c>
      <c r="AQ139" s="1468"/>
      <c r="AR139" s="1468" t="s">
        <v>215</v>
      </c>
      <c r="AS139" s="1468"/>
      <c r="AT139" s="1468"/>
      <c r="AU139" s="1468"/>
    </row>
    <row r="140" spans="2:50" ht="14.25" customHeight="1">
      <c r="C140" s="1503" t="s">
        <v>989</v>
      </c>
      <c r="D140" s="1504"/>
      <c r="E140" s="1505">
        <f>+COUNTIF('Location Summary'!$D$4:$D$616,'Visual Chart'!C140)</f>
        <v>1</v>
      </c>
      <c r="F140" s="1506"/>
      <c r="G140" s="1471">
        <f>+COUNTIFS('Location Summary'!$D$4:$D$616,'Visual Chart'!C140,'Location Summary'!$K$4:$K$616,"Completed")</f>
        <v>1</v>
      </c>
      <c r="H140" s="1470"/>
      <c r="I140" s="397">
        <f t="shared" si="0"/>
        <v>0</v>
      </c>
      <c r="J140" s="1469">
        <f>+COUNTIFS('Location Summary'!$D$4:$D$616,'Visual Chart'!C140,'Location Summary'!$M$4:$M$616,"Completed")</f>
        <v>1</v>
      </c>
      <c r="K140" s="1470"/>
      <c r="L140" s="1469">
        <f t="shared" si="1"/>
        <v>0</v>
      </c>
      <c r="M140" s="1470"/>
      <c r="P140" s="1502" t="s">
        <v>1237</v>
      </c>
      <c r="Q140" s="1495"/>
      <c r="R140" s="1495"/>
      <c r="S140" s="1495"/>
      <c r="T140" s="1495"/>
      <c r="U140" s="1495">
        <v>0</v>
      </c>
      <c r="V140" s="1496"/>
      <c r="W140" s="748"/>
      <c r="X140" s="1494" t="s">
        <v>1237</v>
      </c>
      <c r="Y140" s="1494"/>
      <c r="Z140" s="1494"/>
      <c r="AA140" s="1494"/>
      <c r="AB140" s="1494"/>
      <c r="AC140" s="1494"/>
      <c r="AD140" s="1494">
        <v>0</v>
      </c>
      <c r="AE140" s="1494"/>
      <c r="AG140" s="1120"/>
      <c r="AH140" s="1120"/>
      <c r="AI140" s="1468"/>
      <c r="AJ140" s="1468"/>
      <c r="AK140" s="1468"/>
      <c r="AL140" s="1468"/>
      <c r="AM140" s="1468">
        <v>451.52</v>
      </c>
      <c r="AN140" s="1468"/>
      <c r="AO140" s="1120"/>
      <c r="AP140" s="1468"/>
      <c r="AQ140" s="1468"/>
      <c r="AR140" s="1468"/>
      <c r="AS140" s="1468"/>
      <c r="AT140" s="1468">
        <v>420.81</v>
      </c>
      <c r="AU140" s="1468"/>
    </row>
    <row r="141" spans="2:50" ht="14.25" customHeight="1">
      <c r="C141" s="1503" t="s">
        <v>79</v>
      </c>
      <c r="D141" s="1504"/>
      <c r="E141" s="1505">
        <f>+COUNTIF('Location Summary'!$D$4:$D$616,'Visual Chart'!C141)</f>
        <v>47</v>
      </c>
      <c r="F141" s="1506"/>
      <c r="G141" s="1471">
        <f>+COUNTIFS('Location Summary'!$D$4:$D$616,'Visual Chart'!C141,'Location Summary'!$K$4:$K$616,"Completed")</f>
        <v>47</v>
      </c>
      <c r="H141" s="1470"/>
      <c r="I141" s="397">
        <f t="shared" si="0"/>
        <v>0</v>
      </c>
      <c r="J141" s="1469">
        <f>+COUNTIFS('Location Summary'!$D$4:$D$616,'Visual Chart'!C141,'Location Summary'!$M$4:$M$616,"Completed")</f>
        <v>47</v>
      </c>
      <c r="K141" s="1470"/>
      <c r="L141" s="1469">
        <f t="shared" si="1"/>
        <v>0</v>
      </c>
      <c r="M141" s="1470"/>
      <c r="P141" s="1502" t="s">
        <v>499</v>
      </c>
      <c r="Q141" s="1495"/>
      <c r="R141" s="1495"/>
      <c r="S141" s="1495"/>
      <c r="T141" s="1495"/>
      <c r="U141" s="1495">
        <v>0</v>
      </c>
      <c r="V141" s="1496"/>
      <c r="W141" s="748"/>
      <c r="X141" s="1494" t="s">
        <v>499</v>
      </c>
      <c r="Y141" s="1494"/>
      <c r="Z141" s="1494"/>
      <c r="AA141" s="1494"/>
      <c r="AB141" s="1494"/>
      <c r="AC141" s="1494"/>
      <c r="AD141" s="1494">
        <v>0</v>
      </c>
      <c r="AE141" s="1494"/>
      <c r="AG141" s="1119"/>
      <c r="AH141" s="1119"/>
      <c r="AI141" s="1468" t="s">
        <v>168</v>
      </c>
      <c r="AJ141" s="1468"/>
      <c r="AK141" s="1468" t="s">
        <v>228</v>
      </c>
      <c r="AL141" s="1468"/>
      <c r="AM141" s="1468"/>
      <c r="AN141" s="1468"/>
      <c r="AO141" s="1119"/>
      <c r="AP141" s="1468" t="s">
        <v>168</v>
      </c>
      <c r="AQ141" s="1468"/>
      <c r="AR141" s="1468" t="s">
        <v>430</v>
      </c>
      <c r="AS141" s="1468"/>
      <c r="AT141" s="1468"/>
      <c r="AU141" s="1468"/>
    </row>
    <row r="142" spans="2:50" ht="14.25" customHeight="1">
      <c r="C142" s="1503" t="s">
        <v>49</v>
      </c>
      <c r="D142" s="1504"/>
      <c r="E142" s="1505">
        <f>+COUNTIF('Location Summary'!$D$4:$D$616,'Visual Chart'!C142)</f>
        <v>46</v>
      </c>
      <c r="F142" s="1506"/>
      <c r="G142" s="1471">
        <f>+COUNTIFS('Location Summary'!$D$4:$D$616,'Visual Chart'!C142,'Location Summary'!$K$4:$K$616,"Completed")</f>
        <v>46</v>
      </c>
      <c r="H142" s="1470"/>
      <c r="I142" s="397">
        <f t="shared" si="0"/>
        <v>0</v>
      </c>
      <c r="J142" s="1469">
        <f>+COUNTIFS('Location Summary'!$D$4:$D$616,'Visual Chart'!C142,'Location Summary'!$M$4:$M$616,"Completed")</f>
        <v>46</v>
      </c>
      <c r="K142" s="1470"/>
      <c r="L142" s="1469">
        <f t="shared" si="1"/>
        <v>0</v>
      </c>
      <c r="M142" s="1470"/>
      <c r="P142" s="1502" t="s">
        <v>500</v>
      </c>
      <c r="Q142" s="1495"/>
      <c r="R142" s="1495"/>
      <c r="S142" s="1495"/>
      <c r="T142" s="1495"/>
      <c r="U142" s="1495">
        <v>1</v>
      </c>
      <c r="V142" s="1496"/>
      <c r="W142" s="748"/>
      <c r="X142" s="1494" t="s">
        <v>500</v>
      </c>
      <c r="Y142" s="1494"/>
      <c r="Z142" s="1494"/>
      <c r="AA142" s="1494"/>
      <c r="AB142" s="1494"/>
      <c r="AC142" s="1494"/>
      <c r="AD142" s="1494">
        <v>2</v>
      </c>
      <c r="AE142" s="1494"/>
      <c r="AG142" s="1119"/>
      <c r="AH142" s="1119"/>
      <c r="AI142" s="1468"/>
      <c r="AJ142" s="1468"/>
      <c r="AK142" s="1468"/>
      <c r="AL142" s="1468"/>
      <c r="AM142" s="1468">
        <v>401.39</v>
      </c>
      <c r="AN142" s="1468"/>
      <c r="AO142" s="1119"/>
      <c r="AP142" s="1468"/>
      <c r="AQ142" s="1468"/>
      <c r="AR142" s="1468"/>
      <c r="AS142" s="1468"/>
      <c r="AT142" s="1468">
        <v>469.33</v>
      </c>
      <c r="AU142" s="1468"/>
    </row>
    <row r="143" spans="2:50" ht="14.25" customHeight="1">
      <c r="C143" s="1503" t="s">
        <v>197</v>
      </c>
      <c r="D143" s="1504"/>
      <c r="E143" s="1505">
        <f>+COUNTIF('Location Summary'!$D$4:$D$616,'Visual Chart'!C143)</f>
        <v>7</v>
      </c>
      <c r="F143" s="1506"/>
      <c r="G143" s="1471">
        <f>+COUNTIFS('Location Summary'!$D$4:$D$616,'Visual Chart'!C143,'Location Summary'!$K$4:$K$616,"Completed")</f>
        <v>7</v>
      </c>
      <c r="H143" s="1470"/>
      <c r="I143" s="397">
        <f t="shared" si="0"/>
        <v>0</v>
      </c>
      <c r="J143" s="1469">
        <f>+COUNTIFS('Location Summary'!$D$4:$D$616,'Visual Chart'!C143,'Location Summary'!$M$4:$M$616,"Completed")</f>
        <v>7</v>
      </c>
      <c r="K143" s="1470"/>
      <c r="L143" s="1469">
        <f t="shared" si="1"/>
        <v>0</v>
      </c>
      <c r="M143" s="1470"/>
      <c r="P143" s="1502" t="s">
        <v>389</v>
      </c>
      <c r="Q143" s="1495"/>
      <c r="R143" s="1495"/>
      <c r="S143" s="1495"/>
      <c r="T143" s="1495"/>
      <c r="U143" s="1495">
        <v>1</v>
      </c>
      <c r="V143" s="1496"/>
      <c r="W143" s="748"/>
      <c r="X143" s="1494" t="s">
        <v>389</v>
      </c>
      <c r="Y143" s="1494"/>
      <c r="Z143" s="1494"/>
      <c r="AA143" s="1494"/>
      <c r="AB143" s="1494"/>
      <c r="AC143" s="1494"/>
      <c r="AD143" s="1494">
        <v>1</v>
      </c>
      <c r="AE143" s="1494"/>
      <c r="AG143" s="1119"/>
      <c r="AH143" s="1119"/>
      <c r="AI143" s="1468" t="s">
        <v>603</v>
      </c>
      <c r="AJ143" s="1468"/>
      <c r="AK143" s="1468" t="s">
        <v>2</v>
      </c>
      <c r="AL143" s="1468"/>
      <c r="AM143" s="1468"/>
      <c r="AN143" s="1468"/>
      <c r="AO143" s="1119"/>
      <c r="AP143" s="1468" t="s">
        <v>777</v>
      </c>
      <c r="AQ143" s="1468"/>
      <c r="AR143" s="1468" t="s">
        <v>215</v>
      </c>
      <c r="AS143" s="1468"/>
      <c r="AT143" s="1468"/>
      <c r="AU143" s="1468"/>
    </row>
    <row r="144" spans="2:50" ht="17.25" customHeight="1">
      <c r="C144" s="1503" t="s">
        <v>226</v>
      </c>
      <c r="D144" s="1504"/>
      <c r="E144" s="1505">
        <f>+COUNTIF('Location Summary'!$D$4:$D$616,'Visual Chart'!C144)</f>
        <v>2</v>
      </c>
      <c r="F144" s="1506"/>
      <c r="G144" s="1471">
        <f>+COUNTIFS('Location Summary'!$D$4:$D$616,'Visual Chart'!C144,'Location Summary'!$K$4:$K$616,"Completed")</f>
        <v>2</v>
      </c>
      <c r="H144" s="1470"/>
      <c r="I144" s="397">
        <f t="shared" si="0"/>
        <v>0</v>
      </c>
      <c r="J144" s="1469">
        <f>+COUNTIFS('Location Summary'!$D$4:$D$616,'Visual Chart'!C144,'Location Summary'!$M$4:$M$616,"Completed")</f>
        <v>2</v>
      </c>
      <c r="K144" s="1470"/>
      <c r="L144" s="1469">
        <f t="shared" si="1"/>
        <v>0</v>
      </c>
      <c r="M144" s="1470"/>
      <c r="P144" s="1564" t="s">
        <v>81</v>
      </c>
      <c r="Q144" s="1565"/>
      <c r="R144" s="1565"/>
      <c r="S144" s="1565"/>
      <c r="T144" s="1565"/>
      <c r="U144" s="1565">
        <f>SUM(U137:V143)</f>
        <v>19</v>
      </c>
      <c r="V144" s="1566"/>
      <c r="W144" s="749"/>
      <c r="X144" s="1562" t="s">
        <v>81</v>
      </c>
      <c r="Y144" s="1562"/>
      <c r="Z144" s="1562"/>
      <c r="AA144" s="1562"/>
      <c r="AB144" s="1562"/>
      <c r="AC144" s="1562"/>
      <c r="AD144" s="1562">
        <f>SUM(AD137:AE143)</f>
        <v>20</v>
      </c>
      <c r="AE144" s="1562"/>
      <c r="AG144" s="1121"/>
      <c r="AH144" s="1121"/>
      <c r="AI144" s="1468"/>
      <c r="AJ144" s="1468"/>
      <c r="AK144" s="1468"/>
      <c r="AL144" s="1468"/>
      <c r="AM144" s="1468">
        <v>430</v>
      </c>
      <c r="AN144" s="1468"/>
      <c r="AO144" s="1121"/>
      <c r="AP144" s="1468"/>
      <c r="AQ144" s="1468"/>
      <c r="AR144" s="1468"/>
      <c r="AS144" s="1468"/>
      <c r="AT144" s="1468">
        <v>411.28</v>
      </c>
      <c r="AU144" s="1468"/>
    </row>
    <row r="145" spans="3:47" ht="15.5">
      <c r="C145" s="1503" t="s">
        <v>227</v>
      </c>
      <c r="D145" s="1504"/>
      <c r="E145" s="1505">
        <f>+COUNTIF('Location Summary'!$D$4:$D$616,'Visual Chart'!C145)</f>
        <v>6</v>
      </c>
      <c r="F145" s="1506"/>
      <c r="G145" s="1471">
        <f>+COUNTIFS('Location Summary'!$D$4:$D$616,'Visual Chart'!C145,'Location Summary'!$K$4:$K$616,"Completed")</f>
        <v>6</v>
      </c>
      <c r="H145" s="1470"/>
      <c r="I145" s="397">
        <f t="shared" si="0"/>
        <v>0</v>
      </c>
      <c r="J145" s="1469">
        <f>+COUNTIFS('Location Summary'!$D$4:$D$616,'Visual Chart'!C145,'Location Summary'!$M$4:$M$616,"Completed")</f>
        <v>6</v>
      </c>
      <c r="K145" s="1470"/>
      <c r="L145" s="1469">
        <f t="shared" si="1"/>
        <v>0</v>
      </c>
      <c r="M145" s="1470"/>
      <c r="AI145" s="1468" t="s">
        <v>604</v>
      </c>
      <c r="AJ145" s="1468"/>
      <c r="AK145" s="1468" t="s">
        <v>2</v>
      </c>
      <c r="AL145" s="1468"/>
      <c r="AM145" s="1468"/>
      <c r="AN145" s="1468"/>
      <c r="AP145" s="1468" t="s">
        <v>604</v>
      </c>
      <c r="AQ145" s="1468"/>
      <c r="AR145" s="1468" t="s">
        <v>2</v>
      </c>
      <c r="AS145" s="1468"/>
      <c r="AT145" s="1465"/>
      <c r="AU145" s="1465"/>
    </row>
    <row r="146" spans="3:47" ht="15.5">
      <c r="C146" s="1503" t="s">
        <v>211</v>
      </c>
      <c r="D146" s="1504"/>
      <c r="E146" s="1505">
        <f>+COUNTIF('Location Summary'!$D$4:$D$616,'Visual Chart'!C146)</f>
        <v>12</v>
      </c>
      <c r="F146" s="1506"/>
      <c r="G146" s="1471">
        <f>+COUNTIFS('Location Summary'!$D$4:$D$616,'Visual Chart'!C146,'Location Summary'!$K$4:$K$616,"Completed")</f>
        <v>12</v>
      </c>
      <c r="H146" s="1470"/>
      <c r="I146" s="397">
        <f t="shared" si="0"/>
        <v>0</v>
      </c>
      <c r="J146" s="1469">
        <f>+COUNTIFS('Location Summary'!$D$4:$D$616,'Visual Chart'!C146,'Location Summary'!$M$4:$M$616,"Completed")</f>
        <v>12</v>
      </c>
      <c r="K146" s="1470"/>
      <c r="L146" s="1469">
        <f>G146-J146</f>
        <v>0</v>
      </c>
      <c r="M146" s="1470"/>
      <c r="Q146" s="761" t="s">
        <v>1273</v>
      </c>
      <c r="R146" s="748"/>
      <c r="S146" s="748"/>
      <c r="T146" s="748"/>
      <c r="U146" s="748"/>
      <c r="V146" s="748"/>
      <c r="W146" s="748"/>
      <c r="X146" s="748"/>
    </row>
    <row r="147" spans="3:47">
      <c r="C147" s="1503" t="s">
        <v>403</v>
      </c>
      <c r="D147" s="1504"/>
      <c r="E147" s="1505">
        <f>+COUNTIF('Location Summary'!$D$4:$D$616,'Visual Chart'!C147)</f>
        <v>4</v>
      </c>
      <c r="F147" s="1506"/>
      <c r="G147" s="1471">
        <f>+COUNTIFS('Location Summary'!$D$4:$D$616,'Visual Chart'!C147,'Location Summary'!$K$4:$K$616,"Completed")</f>
        <v>4</v>
      </c>
      <c r="H147" s="1470"/>
      <c r="I147" s="397">
        <f t="shared" si="0"/>
        <v>0</v>
      </c>
      <c r="J147" s="1469">
        <f>+COUNTIFS('Location Summary'!$D$4:$D$616,'Visual Chart'!C147,'Location Summary'!$M$4:$M$616,"Completed")</f>
        <v>4</v>
      </c>
      <c r="K147" s="1470"/>
      <c r="L147" s="1469">
        <f t="shared" si="1"/>
        <v>0</v>
      </c>
      <c r="M147" s="1470"/>
      <c r="R147" s="762"/>
      <c r="S147" s="762"/>
      <c r="T147" s="762"/>
      <c r="U147" s="762"/>
      <c r="V147" s="762"/>
    </row>
    <row r="148" spans="3:47">
      <c r="C148" s="1503" t="s">
        <v>184</v>
      </c>
      <c r="D148" s="1504"/>
      <c r="E148" s="1505">
        <f>+COUNTIF('Location Summary'!$D$4:$D$616,'Visual Chart'!C148)</f>
        <v>5</v>
      </c>
      <c r="F148" s="1506"/>
      <c r="G148" s="1471">
        <f>+COUNTIFS('Location Summary'!$D$4:$D$616,'Visual Chart'!C148,'Location Summary'!$K$4:$K$616,"Completed")</f>
        <v>5</v>
      </c>
      <c r="H148" s="1470"/>
      <c r="I148" s="397">
        <f t="shared" si="0"/>
        <v>0</v>
      </c>
      <c r="J148" s="1469">
        <f>+COUNTIFS('Location Summary'!$D$4:$D$616,'Visual Chart'!C148,'Location Summary'!$M$4:$M$616,"Completed")</f>
        <v>5</v>
      </c>
      <c r="K148" s="1470"/>
      <c r="L148" s="1469">
        <f t="shared" si="1"/>
        <v>0</v>
      </c>
      <c r="M148" s="1470"/>
      <c r="Q148" s="327"/>
      <c r="R148" s="327">
        <v>1</v>
      </c>
      <c r="S148" s="763" t="s">
        <v>531</v>
      </c>
      <c r="T148" s="327" t="s">
        <v>79</v>
      </c>
      <c r="V148" s="762" t="s">
        <v>1274</v>
      </c>
      <c r="W148" s="762"/>
      <c r="X148" s="762"/>
      <c r="Y148" s="762"/>
      <c r="Z148" s="762"/>
      <c r="AA148" s="762"/>
      <c r="AB148" s="762"/>
      <c r="AG148" s="354" t="s">
        <v>1608</v>
      </c>
    </row>
    <row r="149" spans="3:47">
      <c r="C149" s="1503" t="s">
        <v>228</v>
      </c>
      <c r="D149" s="1504"/>
      <c r="E149" s="1505">
        <f>+COUNTIF('Location Summary'!$D$4:$D$616,'Visual Chart'!C149)</f>
        <v>1</v>
      </c>
      <c r="F149" s="1506"/>
      <c r="G149" s="1471">
        <f>+COUNTIFS('Location Summary'!$D$4:$D$616,'Visual Chart'!C149,'Location Summary'!$K$4:$K$616,"Completed")</f>
        <v>1</v>
      </c>
      <c r="H149" s="1470"/>
      <c r="I149" s="397">
        <f t="shared" si="0"/>
        <v>0</v>
      </c>
      <c r="J149" s="1469">
        <f>+COUNTIFS('Location Summary'!$D$4:$D$616,'Visual Chart'!C149,'Location Summary'!$M$4:$M$616,"Completed")</f>
        <v>1</v>
      </c>
      <c r="K149" s="1470"/>
      <c r="L149" s="1469">
        <f t="shared" si="1"/>
        <v>0</v>
      </c>
      <c r="M149" s="1470"/>
      <c r="Q149" s="327"/>
      <c r="R149" s="327">
        <v>2</v>
      </c>
      <c r="S149" s="764" t="s">
        <v>533</v>
      </c>
      <c r="T149" s="327" t="s">
        <v>2</v>
      </c>
      <c r="V149" s="762" t="s">
        <v>1274</v>
      </c>
    </row>
    <row r="150" spans="3:47">
      <c r="C150" s="1503" t="s">
        <v>229</v>
      </c>
      <c r="D150" s="1504"/>
      <c r="E150" s="1505">
        <f>+COUNTIF('Location Summary'!$D$4:$D$616,'Visual Chart'!C150)</f>
        <v>1</v>
      </c>
      <c r="F150" s="1506"/>
      <c r="G150" s="1471">
        <f>+COUNTIFS('Location Summary'!$D$4:$D$616,'Visual Chart'!C150,'Location Summary'!$K$4:$K$616,"Completed")</f>
        <v>1</v>
      </c>
      <c r="H150" s="1470"/>
      <c r="I150" s="397">
        <f t="shared" si="0"/>
        <v>0</v>
      </c>
      <c r="J150" s="1469">
        <f>+COUNTIFS('Location Summary'!$D$4:$D$616,'Visual Chart'!C150,'Location Summary'!$M$4:$M$616,"Completed")</f>
        <v>1</v>
      </c>
      <c r="K150" s="1470"/>
      <c r="L150" s="1469">
        <f t="shared" si="1"/>
        <v>0</v>
      </c>
      <c r="M150" s="1470"/>
      <c r="Q150" s="327"/>
      <c r="R150" s="327">
        <v>3</v>
      </c>
      <c r="S150" s="764" t="s">
        <v>534</v>
      </c>
      <c r="T150" s="327" t="s">
        <v>2</v>
      </c>
      <c r="V150" s="762" t="s">
        <v>1274</v>
      </c>
      <c r="AG150" s="354" t="s">
        <v>1609</v>
      </c>
    </row>
    <row r="151" spans="3:47">
      <c r="C151" s="1503" t="s">
        <v>215</v>
      </c>
      <c r="D151" s="1504"/>
      <c r="E151" s="1505">
        <f>+COUNTIF('Location Summary'!$D$4:$D$616,'Visual Chart'!C151)</f>
        <v>4</v>
      </c>
      <c r="F151" s="1506"/>
      <c r="G151" s="1471">
        <f>+COUNTIFS('Location Summary'!$D$4:$D$616,'Visual Chart'!C151,'Location Summary'!$K$4:$K$616,"Completed")</f>
        <v>4</v>
      </c>
      <c r="H151" s="1470"/>
      <c r="I151" s="397">
        <f t="shared" si="0"/>
        <v>0</v>
      </c>
      <c r="J151" s="1469">
        <f>+COUNTIFS('Location Summary'!$D$4:$D$616,'Visual Chart'!C151,'Location Summary'!$M$4:$M$616,"Completed")</f>
        <v>3</v>
      </c>
      <c r="K151" s="1470"/>
      <c r="L151" s="1469">
        <f t="shared" si="1"/>
        <v>1</v>
      </c>
      <c r="M151" s="1470"/>
      <c r="Q151" s="327"/>
      <c r="R151" s="327">
        <v>4</v>
      </c>
      <c r="S151" s="764" t="s">
        <v>535</v>
      </c>
      <c r="T151" s="327" t="s">
        <v>3</v>
      </c>
      <c r="V151" s="762" t="s">
        <v>1274</v>
      </c>
    </row>
    <row r="152" spans="3:47">
      <c r="C152" s="1503" t="s">
        <v>185</v>
      </c>
      <c r="D152" s="1504"/>
      <c r="E152" s="1505">
        <f>+COUNTIF('Location Summary'!$D$4:$D$616,'Visual Chart'!C152)</f>
        <v>1</v>
      </c>
      <c r="F152" s="1506"/>
      <c r="G152" s="1471">
        <f>+COUNTIFS('Location Summary'!$D$4:$D$616,'Visual Chart'!C152,'Location Summary'!$K$4:$K$616,"Completed")</f>
        <v>1</v>
      </c>
      <c r="H152" s="1470"/>
      <c r="I152" s="397">
        <f t="shared" si="0"/>
        <v>0</v>
      </c>
      <c r="J152" s="1469">
        <f>+COUNTIFS('Location Summary'!$D$4:$D$616,'Visual Chart'!C152,'Location Summary'!$M$4:$M$616,"Completed")</f>
        <v>1</v>
      </c>
      <c r="K152" s="1470"/>
      <c r="L152" s="1469">
        <f t="shared" si="1"/>
        <v>0</v>
      </c>
      <c r="M152" s="1470"/>
      <c r="Q152" s="327"/>
      <c r="R152" s="327">
        <v>5</v>
      </c>
      <c r="S152" s="764" t="s">
        <v>536</v>
      </c>
      <c r="T152" s="327" t="s">
        <v>3</v>
      </c>
      <c r="V152" s="762" t="s">
        <v>1274</v>
      </c>
      <c r="AG152" s="354" t="s">
        <v>1610</v>
      </c>
    </row>
    <row r="153" spans="3:47">
      <c r="C153" s="1503" t="s">
        <v>217</v>
      </c>
      <c r="D153" s="1504"/>
      <c r="E153" s="1505">
        <f>+COUNTIF('Location Summary'!$D$4:$D$616,'Visual Chart'!C153)</f>
        <v>1</v>
      </c>
      <c r="F153" s="1506"/>
      <c r="G153" s="1471">
        <f>+COUNTIFS('Location Summary'!$D$4:$D$616,'Visual Chart'!C153,'Location Summary'!$K$4:$K$616,"Completed")</f>
        <v>1</v>
      </c>
      <c r="H153" s="1470"/>
      <c r="I153" s="397">
        <f t="shared" si="0"/>
        <v>0</v>
      </c>
      <c r="J153" s="1469">
        <f>+COUNTIFS('Location Summary'!$D$4:$D$616,'Visual Chart'!C153,'Location Summary'!$M$4:$M$616,"Completed")</f>
        <v>1</v>
      </c>
      <c r="K153" s="1470"/>
      <c r="L153" s="1469">
        <f t="shared" si="1"/>
        <v>0</v>
      </c>
      <c r="M153" s="1470"/>
      <c r="Q153" s="327"/>
      <c r="R153" s="327">
        <v>6</v>
      </c>
      <c r="S153" s="764" t="s">
        <v>537</v>
      </c>
      <c r="T153" s="327" t="s">
        <v>49</v>
      </c>
      <c r="V153" s="762" t="s">
        <v>1274</v>
      </c>
    </row>
    <row r="154" spans="3:47">
      <c r="C154" s="1503" t="s">
        <v>173</v>
      </c>
      <c r="D154" s="1504"/>
      <c r="E154" s="1505">
        <f>+COUNTIF('Location Summary'!$D$4:$D$616,'Visual Chart'!C154)</f>
        <v>2</v>
      </c>
      <c r="F154" s="1506"/>
      <c r="G154" s="1471">
        <f>+COUNTIFS('Location Summary'!$D$4:$D$616,'Visual Chart'!C154,'Location Summary'!$K$4:$K$616,"Completed")</f>
        <v>2</v>
      </c>
      <c r="H154" s="1470"/>
      <c r="I154" s="397">
        <f t="shared" si="0"/>
        <v>0</v>
      </c>
      <c r="J154" s="1469">
        <f>+COUNTIFS('Location Summary'!$D$4:$D$616,'Visual Chart'!C154,'Location Summary'!$M$4:$M$616,"Completed")</f>
        <v>2</v>
      </c>
      <c r="K154" s="1470"/>
      <c r="L154" s="1469">
        <f t="shared" si="1"/>
        <v>0</v>
      </c>
      <c r="M154" s="1470"/>
      <c r="Q154" s="327"/>
      <c r="R154" s="327">
        <v>7</v>
      </c>
      <c r="S154" s="764" t="s">
        <v>538</v>
      </c>
      <c r="T154" s="327" t="s">
        <v>3</v>
      </c>
      <c r="V154" s="762" t="s">
        <v>1274</v>
      </c>
    </row>
    <row r="155" spans="3:47">
      <c r="C155" s="578" t="s">
        <v>250</v>
      </c>
      <c r="D155" s="935"/>
      <c r="E155" s="1505">
        <f>+COUNTIF('Location Summary'!$D$4:$D$616,'Visual Chart'!C155)</f>
        <v>1</v>
      </c>
      <c r="F155" s="1506"/>
      <c r="G155" s="1471">
        <f>+COUNTIFS('Location Summary'!$D$4:$D$616,'Visual Chart'!C155,'Location Summary'!$K$4:$K$616,"Completed")</f>
        <v>1</v>
      </c>
      <c r="H155" s="1470"/>
      <c r="I155" s="397">
        <f t="shared" si="0"/>
        <v>0</v>
      </c>
      <c r="J155" s="1469">
        <f>+COUNTIFS('Location Summary'!$D$4:$D$616,'Visual Chart'!C155,'Location Summary'!$M$4:$M$616,"Completed")</f>
        <v>1</v>
      </c>
      <c r="K155" s="1470"/>
      <c r="L155" s="1469">
        <f t="shared" si="1"/>
        <v>0</v>
      </c>
      <c r="M155" s="1470"/>
    </row>
    <row r="156" spans="3:47">
      <c r="C156" s="1503" t="s">
        <v>430</v>
      </c>
      <c r="D156" s="1504"/>
      <c r="E156" s="1505">
        <f>+COUNTIF('Location Summary'!$D$4:$D$616,'Visual Chart'!C156)</f>
        <v>2</v>
      </c>
      <c r="F156" s="1506"/>
      <c r="G156" s="1471">
        <f>+COUNTIFS('Location Summary'!$D$4:$D$616,'Visual Chart'!C156,'Location Summary'!$K$4:$K$616,"Completed")</f>
        <v>2</v>
      </c>
      <c r="H156" s="1470"/>
      <c r="I156" s="397">
        <f t="shared" si="0"/>
        <v>0</v>
      </c>
      <c r="J156" s="1469">
        <f>+COUNTIFS('Location Summary'!$D$4:$D$616,'Visual Chart'!C156,'Location Summary'!$M$4:$M$616,"Completed")</f>
        <v>1</v>
      </c>
      <c r="K156" s="1470"/>
      <c r="L156" s="1469">
        <f t="shared" si="1"/>
        <v>1</v>
      </c>
      <c r="M156" s="1470"/>
    </row>
    <row r="157" spans="3:47">
      <c r="C157" s="1503" t="s">
        <v>178</v>
      </c>
      <c r="D157" s="1504"/>
      <c r="E157" s="1505">
        <f>+COUNTIF('Location Summary'!$D$4:$D$616,'Visual Chart'!C157)</f>
        <v>2</v>
      </c>
      <c r="F157" s="1506"/>
      <c r="G157" s="1471">
        <f>+COUNTIFS('Location Summary'!$D$4:$D$616,'Visual Chart'!C157,'Location Summary'!$K$4:$K$616,"Completed")</f>
        <v>2</v>
      </c>
      <c r="H157" s="1470"/>
      <c r="I157" s="397">
        <f t="shared" si="0"/>
        <v>0</v>
      </c>
      <c r="J157" s="1469">
        <f>+COUNTIFS('Location Summary'!$D$4:$D$616,'Visual Chart'!C157,'Location Summary'!$M$4:$M$616,"Completed")</f>
        <v>2</v>
      </c>
      <c r="K157" s="1470"/>
      <c r="L157" s="1469">
        <f t="shared" si="1"/>
        <v>0</v>
      </c>
      <c r="M157" s="1470"/>
    </row>
    <row r="158" spans="3:47" ht="15" customHeight="1">
      <c r="C158" s="578" t="s">
        <v>183</v>
      </c>
      <c r="D158" s="935"/>
      <c r="E158" s="1505">
        <f>+COUNTIF('Location Summary'!$D$4:$D$616,'Visual Chart'!C158)</f>
        <v>1</v>
      </c>
      <c r="F158" s="1506"/>
      <c r="G158" s="1471">
        <f>+COUNTIFS('Location Summary'!$D$4:$D$616,'Visual Chart'!C158,'Location Summary'!$K$4:$K$616,"Completed")</f>
        <v>1</v>
      </c>
      <c r="H158" s="1470"/>
      <c r="I158" s="397">
        <f t="shared" si="0"/>
        <v>0</v>
      </c>
      <c r="J158" s="1469">
        <f>+COUNTIFS('Location Summary'!$D$4:$D$616,'Visual Chart'!C158,'Location Summary'!$M$4:$M$616,"Completed")</f>
        <v>1</v>
      </c>
      <c r="K158" s="1470"/>
      <c r="L158" s="1469">
        <f>G158-J158</f>
        <v>0</v>
      </c>
      <c r="M158" s="1470"/>
    </row>
    <row r="159" spans="3:47">
      <c r="C159" s="1549" t="s">
        <v>188</v>
      </c>
      <c r="D159" s="1550"/>
      <c r="E159" s="1543">
        <f>+COUNTIF('Location Summary'!$D$4:$D$616,'Visual Chart'!C159)</f>
        <v>1</v>
      </c>
      <c r="F159" s="1544"/>
      <c r="G159" s="1471">
        <f>+COUNTIFS('Location Summary'!$D$4:$D$616,'Visual Chart'!C159,'Location Summary'!$K$4:$K$616,"Completed")</f>
        <v>1</v>
      </c>
      <c r="H159" s="1470"/>
      <c r="I159" s="1072">
        <f t="shared" si="0"/>
        <v>0</v>
      </c>
      <c r="J159" s="1469">
        <f>+COUNTIFS('Location Summary'!$D$4:$D$616,'Visual Chart'!C159,'Location Summary'!$M$4:$M$616,"Completed")</f>
        <v>1</v>
      </c>
      <c r="K159" s="1470"/>
      <c r="L159" s="1469">
        <f t="shared" si="1"/>
        <v>0</v>
      </c>
      <c r="M159" s="1470"/>
    </row>
    <row r="160" spans="3:47">
      <c r="C160" s="1549" t="s">
        <v>213</v>
      </c>
      <c r="D160" s="1550"/>
      <c r="E160" s="1543">
        <f>+COUNTIF('Location Summary'!$D$4:$D$616,'Visual Chart'!C160)</f>
        <v>2</v>
      </c>
      <c r="F160" s="1544"/>
      <c r="G160" s="1471">
        <f>+COUNTIFS('Location Summary'!$D$4:$D$616,'Visual Chart'!C160,'Location Summary'!$K$4:$K$616,"Completed")</f>
        <v>2</v>
      </c>
      <c r="H160" s="1470"/>
      <c r="I160" s="1072">
        <f t="shared" si="0"/>
        <v>0</v>
      </c>
      <c r="J160" s="1469">
        <f>+COUNTIFS('Location Summary'!$D$4:$D$616,'Visual Chart'!C160,'Location Summary'!$M$4:$M$616,"Completed")</f>
        <v>2</v>
      </c>
      <c r="K160" s="1470"/>
      <c r="L160" s="1469">
        <f t="shared" si="1"/>
        <v>0</v>
      </c>
      <c r="M160" s="1470"/>
    </row>
    <row r="161" spans="3:41">
      <c r="C161" s="1549" t="s">
        <v>209</v>
      </c>
      <c r="D161" s="1550"/>
      <c r="E161" s="1543">
        <f>+COUNTIF('Location Summary'!$D$4:$D$616,'Visual Chart'!C161)</f>
        <v>1</v>
      </c>
      <c r="F161" s="1544"/>
      <c r="G161" s="1471">
        <f>+COUNTIFS('Location Summary'!$D$4:$D$616,'Visual Chart'!C161,'Location Summary'!$K$4:$K$616,"Completed")</f>
        <v>1</v>
      </c>
      <c r="H161" s="1470"/>
      <c r="I161" s="1072">
        <f t="shared" si="0"/>
        <v>0</v>
      </c>
      <c r="J161" s="1469">
        <f>+COUNTIFS('Location Summary'!$D$4:$D$616,'Visual Chart'!C161,'Location Summary'!$M$4:$M$616,"Completed")</f>
        <v>1</v>
      </c>
      <c r="K161" s="1470"/>
      <c r="L161" s="1469">
        <f t="shared" si="1"/>
        <v>0</v>
      </c>
      <c r="M161" s="1470"/>
    </row>
    <row r="162" spans="3:41">
      <c r="C162" s="1549" t="s">
        <v>186</v>
      </c>
      <c r="D162" s="1550"/>
      <c r="E162" s="1543">
        <f>+COUNTIF('Location Summary'!$D$4:$D$616,'Visual Chart'!C162)</f>
        <v>3</v>
      </c>
      <c r="F162" s="1544"/>
      <c r="G162" s="1471">
        <f>+COUNTIFS('Location Summary'!$D$4:$D$616,'Visual Chart'!C162,'Location Summary'!$K$4:$K$616,"Completed")</f>
        <v>3</v>
      </c>
      <c r="H162" s="1470"/>
      <c r="I162" s="1072">
        <f t="shared" si="0"/>
        <v>0</v>
      </c>
      <c r="J162" s="1469">
        <f>+COUNTIFS('Location Summary'!$D$4:$D$616,'Visual Chart'!C162,'Location Summary'!$M$4:$M$616,"Completed")</f>
        <v>3</v>
      </c>
      <c r="K162" s="1470"/>
      <c r="L162" s="1469">
        <f t="shared" si="1"/>
        <v>0</v>
      </c>
      <c r="M162" s="1470"/>
    </row>
    <row r="163" spans="3:41">
      <c r="C163" s="1549" t="s">
        <v>218</v>
      </c>
      <c r="D163" s="1550"/>
      <c r="E163" s="1543">
        <f>+COUNTIF('Location Summary'!$D$4:$D$616,'Visual Chart'!C163)</f>
        <v>1</v>
      </c>
      <c r="F163" s="1544"/>
      <c r="G163" s="1471">
        <f>+COUNTIFS('Location Summary'!$D$4:$D$616,'Visual Chart'!C163,'Location Summary'!$K$4:$K$616,"Completed")</f>
        <v>1</v>
      </c>
      <c r="H163" s="1470"/>
      <c r="I163" s="1072">
        <f t="shared" si="0"/>
        <v>0</v>
      </c>
      <c r="J163" s="1469">
        <f>+COUNTIFS('Location Summary'!$D$4:$D$616,'Visual Chart'!C163,'Location Summary'!$M$4:$M$616,"Completed")</f>
        <v>1</v>
      </c>
      <c r="K163" s="1470"/>
      <c r="L163" s="1469">
        <f t="shared" si="1"/>
        <v>0</v>
      </c>
      <c r="M163" s="1470"/>
    </row>
    <row r="164" spans="3:41">
      <c r="C164" s="1547" t="s">
        <v>431</v>
      </c>
      <c r="D164" s="1548"/>
      <c r="E164" s="1545">
        <f>+COUNTIF('Location Summary'!$D$4:$D$616,'Visual Chart'!C164)</f>
        <v>2</v>
      </c>
      <c r="F164" s="1546"/>
      <c r="G164" s="1471">
        <f>+COUNTIFS('Location Summary'!$D$4:$D$616,'Visual Chart'!C164,'Location Summary'!$K$4:$K$616,"Completed")</f>
        <v>2</v>
      </c>
      <c r="H164" s="1470"/>
      <c r="I164" s="1073">
        <f t="shared" si="0"/>
        <v>0</v>
      </c>
      <c r="J164" s="1469">
        <f>+COUNTIFS('Location Summary'!$D$4:$D$616,'Visual Chart'!C164,'Location Summary'!$M$4:$M$616,"Completed")</f>
        <v>2</v>
      </c>
      <c r="K164" s="1470"/>
      <c r="L164" s="1469">
        <f t="shared" si="1"/>
        <v>0</v>
      </c>
      <c r="M164" s="1470"/>
      <c r="AO164" s="412"/>
    </row>
    <row r="165" spans="3:41">
      <c r="C165" s="1537" t="s">
        <v>81</v>
      </c>
      <c r="D165" s="1538"/>
      <c r="E165" s="1539">
        <f>SUM(E135:E164)</f>
        <v>306</v>
      </c>
      <c r="F165" s="1540"/>
      <c r="G165" s="1541">
        <f>SUM(G135:G164)</f>
        <v>306</v>
      </c>
      <c r="H165" s="1542"/>
      <c r="I165" s="398">
        <f>SUM(I135:I164)</f>
        <v>0</v>
      </c>
      <c r="J165" s="1541">
        <f>SUM(J135:J164)</f>
        <v>304</v>
      </c>
      <c r="K165" s="1542"/>
      <c r="L165" s="1541">
        <f>SUM(L135:L164)</f>
        <v>2</v>
      </c>
      <c r="M165" s="1542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23" priority="17" operator="equal">
      <formula>5</formula>
    </cfRule>
    <cfRule type="cellIs" dxfId="222" priority="18" operator="equal">
      <formula>3</formula>
    </cfRule>
    <cfRule type="cellIs" dxfId="221" priority="19" operator="equal">
      <formula>2</formula>
    </cfRule>
    <cfRule type="cellIs" dxfId="220" priority="20" operator="equal">
      <formula>1</formula>
    </cfRule>
  </conditionalFormatting>
  <conditionalFormatting sqref="C131">
    <cfRule type="cellIs" dxfId="219" priority="13" operator="equal">
      <formula>5</formula>
    </cfRule>
    <cfRule type="cellIs" dxfId="218" priority="14" operator="equal">
      <formula>3</formula>
    </cfRule>
    <cfRule type="cellIs" dxfId="217" priority="15" operator="equal">
      <formula>2</formula>
    </cfRule>
    <cfRule type="cellIs" dxfId="216" priority="16" operator="equal">
      <formula>1</formula>
    </cfRule>
  </conditionalFormatting>
  <conditionalFormatting sqref="I131">
    <cfRule type="cellIs" dxfId="215" priority="9" operator="equal">
      <formula>5</formula>
    </cfRule>
    <cfRule type="cellIs" dxfId="214" priority="10" operator="equal">
      <formula>3</formula>
    </cfRule>
    <cfRule type="cellIs" dxfId="213" priority="11" operator="equal">
      <formula>2</formula>
    </cfRule>
    <cfRule type="cellIs" dxfId="212" priority="12" operator="equal">
      <formula>1</formula>
    </cfRule>
  </conditionalFormatting>
  <conditionalFormatting sqref="AV131">
    <cfRule type="cellIs" dxfId="211" priority="1" operator="equal">
      <formula>5</formula>
    </cfRule>
    <cfRule type="cellIs" dxfId="210" priority="2" operator="equal">
      <formula>3</formula>
    </cfRule>
    <cfRule type="cellIs" dxfId="209" priority="3" operator="equal">
      <formula>2</formula>
    </cfRule>
    <cfRule type="cellIs" dxfId="208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4"/>
  <sheetViews>
    <sheetView showGridLines="0" zoomScaleNormal="100" workbookViewId="0">
      <pane xSplit="6" ySplit="5" topLeftCell="G36" activePane="bottomRight" state="frozen"/>
      <selection pane="topRight" activeCell="G1" sqref="G1"/>
      <selection pane="bottomLeft" activeCell="A6" sqref="A6"/>
      <selection pane="bottomRight" activeCell="E41" sqref="E41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56.906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426" t="str">
        <f>Erection!A1</f>
        <v>KEC International Limited</v>
      </c>
      <c r="B1" s="1427"/>
      <c r="C1" s="1427"/>
      <c r="D1" s="1427"/>
      <c r="E1" s="1427"/>
      <c r="F1" s="1427"/>
      <c r="G1" s="1427"/>
      <c r="H1" s="1427"/>
      <c r="I1" s="1427"/>
      <c r="J1" s="1427"/>
      <c r="K1" s="1427"/>
      <c r="L1" s="1427"/>
      <c r="M1" s="1427"/>
      <c r="N1" s="1427"/>
      <c r="O1" s="1427"/>
      <c r="P1" s="1427"/>
      <c r="Q1" s="1427"/>
      <c r="R1" s="1427"/>
      <c r="S1" s="1427"/>
      <c r="T1" s="1427"/>
      <c r="U1" s="1428"/>
    </row>
    <row r="2" spans="1:25" ht="15.5">
      <c r="A2" s="1429" t="str">
        <f>Erection!A2</f>
        <v xml:space="preserve"> TA413 : 765 KV D/C Bikaner III - Neemrana II TL02</v>
      </c>
      <c r="B2" s="1430"/>
      <c r="C2" s="1430"/>
      <c r="D2" s="1430"/>
      <c r="E2" s="1430"/>
      <c r="F2" s="1430"/>
      <c r="G2" s="1430"/>
      <c r="H2" s="1430"/>
      <c r="I2" s="1430"/>
      <c r="J2" s="1430"/>
      <c r="K2" s="1430"/>
      <c r="L2" s="1430"/>
      <c r="M2" s="1430"/>
      <c r="N2" s="1430"/>
      <c r="O2" s="1430"/>
      <c r="P2" s="1430"/>
      <c r="Q2" s="1430"/>
      <c r="R2" s="1430"/>
      <c r="S2" s="1430"/>
      <c r="T2" s="1430"/>
      <c r="U2" s="1431"/>
    </row>
    <row r="3" spans="1:25" ht="16" thickBot="1">
      <c r="A3" s="1432" t="s">
        <v>107</v>
      </c>
      <c r="B3" s="1433"/>
      <c r="C3" s="1433"/>
      <c r="D3" s="1433"/>
      <c r="E3" s="1433"/>
      <c r="F3" s="1433"/>
      <c r="G3" s="1433"/>
      <c r="H3" s="1433"/>
      <c r="I3" s="1433"/>
      <c r="J3" s="1433"/>
      <c r="K3" s="1433"/>
      <c r="L3" s="1433"/>
      <c r="M3" s="1433"/>
      <c r="N3" s="1433"/>
      <c r="O3" s="1433"/>
      <c r="P3" s="1433"/>
      <c r="Q3" s="1433"/>
      <c r="R3" s="1433"/>
      <c r="S3" s="1433"/>
      <c r="T3" s="1433"/>
      <c r="U3" s="739" t="str">
        <f>TA413_PBNTL!M1</f>
        <v>26.06.2026</v>
      </c>
    </row>
    <row r="4" spans="1:25" ht="15.65" customHeight="1">
      <c r="A4" s="1434" t="s">
        <v>41</v>
      </c>
      <c r="B4" s="1436" t="s">
        <v>42</v>
      </c>
      <c r="C4" s="1438" t="s">
        <v>94</v>
      </c>
      <c r="D4" s="1438"/>
      <c r="E4" s="1438"/>
      <c r="F4" s="740"/>
      <c r="G4" s="740"/>
      <c r="H4" s="740"/>
      <c r="I4" s="740"/>
      <c r="J4" s="740"/>
      <c r="K4" s="740"/>
      <c r="L4" s="740"/>
      <c r="M4" s="740"/>
      <c r="N4" s="740"/>
      <c r="O4" s="740"/>
      <c r="P4" s="740"/>
      <c r="Q4" s="740"/>
      <c r="R4" s="1066">
        <f>SUM(R6:R35)/10^7</f>
        <v>7.423163864814593</v>
      </c>
      <c r="S4" s="1066"/>
      <c r="T4" s="740"/>
      <c r="U4" s="741"/>
    </row>
    <row r="5" spans="1:25" ht="53.25" customHeight="1" thickBot="1">
      <c r="A5" s="1435"/>
      <c r="B5" s="1437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1661</v>
      </c>
      <c r="H5" s="23" t="s">
        <v>1577</v>
      </c>
      <c r="I5" s="23" t="s">
        <v>1578</v>
      </c>
      <c r="J5" s="23" t="s">
        <v>102</v>
      </c>
      <c r="K5" s="23" t="s">
        <v>103</v>
      </c>
      <c r="L5" s="23" t="s">
        <v>1624</v>
      </c>
      <c r="M5" s="23" t="s">
        <v>288</v>
      </c>
      <c r="N5" s="23" t="s">
        <v>1466</v>
      </c>
      <c r="O5" s="23" t="s">
        <v>1621</v>
      </c>
      <c r="P5" s="23" t="s">
        <v>1620</v>
      </c>
      <c r="Q5" s="23" t="s">
        <v>1622</v>
      </c>
      <c r="R5" s="23" t="s">
        <v>272</v>
      </c>
      <c r="S5" s="23" t="s">
        <v>1656</v>
      </c>
      <c r="T5" s="25" t="s">
        <v>87</v>
      </c>
      <c r="U5" s="674" t="s">
        <v>1</v>
      </c>
    </row>
    <row r="6" spans="1:25">
      <c r="A6" s="199">
        <v>1</v>
      </c>
      <c r="B6" s="1060">
        <v>1</v>
      </c>
      <c r="C6" s="1060" t="s">
        <v>576</v>
      </c>
      <c r="D6" s="1060" t="s">
        <v>589</v>
      </c>
      <c r="E6" s="1069">
        <v>4.8985880000000002</v>
      </c>
      <c r="F6" s="1069">
        <f>E6</f>
        <v>4.8985880000000002</v>
      </c>
      <c r="G6" s="1069" t="s">
        <v>1282</v>
      </c>
      <c r="H6" s="1186">
        <f>I6-2</f>
        <v>45694</v>
      </c>
      <c r="I6" s="1062">
        <v>45696</v>
      </c>
      <c r="J6" s="1062">
        <v>45709</v>
      </c>
      <c r="K6" s="1062">
        <v>45714</v>
      </c>
      <c r="L6" s="1186">
        <f>M6-3</f>
        <v>45717</v>
      </c>
      <c r="M6" s="1062">
        <v>45720</v>
      </c>
      <c r="N6" s="1062">
        <v>45721</v>
      </c>
      <c r="O6" s="60" t="s">
        <v>1679</v>
      </c>
      <c r="P6" s="60" t="s">
        <v>1679</v>
      </c>
      <c r="Q6" s="60" t="s">
        <v>1679</v>
      </c>
      <c r="R6" s="1063">
        <f t="shared" ref="R6:R15" si="0">958667.19*E6</f>
        <v>4696115.5929277195</v>
      </c>
      <c r="S6" s="1063" t="s">
        <v>1657</v>
      </c>
      <c r="T6" s="1060" t="s">
        <v>1197</v>
      </c>
      <c r="U6" s="1139" t="s">
        <v>964</v>
      </c>
      <c r="V6" s="1425" t="s">
        <v>1198</v>
      </c>
      <c r="W6" s="1425"/>
      <c r="X6" s="1425"/>
      <c r="Y6" s="1425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43" si="1">E7+F6</f>
        <v>7.4821770000000001</v>
      </c>
      <c r="G7" s="29" t="s">
        <v>1282</v>
      </c>
      <c r="H7" s="60">
        <f t="shared" ref="H7:H18" si="2">I7-2</f>
        <v>45727</v>
      </c>
      <c r="I7" s="60">
        <v>45729</v>
      </c>
      <c r="J7" s="60">
        <v>45733</v>
      </c>
      <c r="K7" s="60">
        <v>45736</v>
      </c>
      <c r="L7" s="60">
        <f>M7-3</f>
        <v>45760</v>
      </c>
      <c r="M7" s="60">
        <v>45763</v>
      </c>
      <c r="N7" s="60">
        <v>45764</v>
      </c>
      <c r="O7" s="60">
        <v>45768</v>
      </c>
      <c r="P7" s="60">
        <v>45783</v>
      </c>
      <c r="Q7" s="60" t="s">
        <v>1679</v>
      </c>
      <c r="R7" s="937">
        <f t="shared" si="0"/>
        <v>2476802.0067449096</v>
      </c>
      <c r="S7" s="937" t="s">
        <v>1657</v>
      </c>
      <c r="T7" s="3" t="s">
        <v>1197</v>
      </c>
      <c r="U7" s="1140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15">
        <v>4.1636769999999999</v>
      </c>
      <c r="F8" s="115">
        <f t="shared" si="1"/>
        <v>11.645854</v>
      </c>
      <c r="G8" s="115" t="s">
        <v>1282</v>
      </c>
      <c r="H8" s="60">
        <f t="shared" si="2"/>
        <v>45742</v>
      </c>
      <c r="I8" s="110">
        <v>45744</v>
      </c>
      <c r="J8" s="110">
        <v>45745</v>
      </c>
      <c r="K8" s="732">
        <v>45752</v>
      </c>
      <c r="L8" s="60">
        <f t="shared" ref="L8:L17" si="3">M8-1</f>
        <v>45762</v>
      </c>
      <c r="M8" s="732">
        <v>45763</v>
      </c>
      <c r="N8" s="60">
        <v>45764</v>
      </c>
      <c r="O8" s="60" t="s">
        <v>1679</v>
      </c>
      <c r="P8" s="60" t="s">
        <v>1679</v>
      </c>
      <c r="Q8" s="60" t="s">
        <v>1679</v>
      </c>
      <c r="R8" s="1039">
        <f t="shared" si="0"/>
        <v>3991580.5296576298</v>
      </c>
      <c r="S8" s="1039" t="s">
        <v>1657</v>
      </c>
      <c r="T8" s="10" t="s">
        <v>1197</v>
      </c>
      <c r="U8" s="1140" t="s">
        <v>964</v>
      </c>
      <c r="V8" s="1059">
        <f>R10+R11</f>
        <v>4921849.1214882601</v>
      </c>
      <c r="X8" s="1059">
        <f>V8/10^7</f>
        <v>0.49218491214882604</v>
      </c>
    </row>
    <row r="9" spans="1:25" s="616" customFormat="1">
      <c r="A9" s="4">
        <v>4</v>
      </c>
      <c r="B9" s="65">
        <v>3</v>
      </c>
      <c r="C9" s="611" t="s">
        <v>619</v>
      </c>
      <c r="D9" s="611" t="s">
        <v>631</v>
      </c>
      <c r="E9" s="947">
        <v>4.7160000000000002</v>
      </c>
      <c r="F9" s="947">
        <f t="shared" si="1"/>
        <v>16.361854000000001</v>
      </c>
      <c r="G9" s="115" t="s">
        <v>1282</v>
      </c>
      <c r="H9" s="99">
        <f t="shared" si="2"/>
        <v>45751</v>
      </c>
      <c r="I9" s="99">
        <v>45753</v>
      </c>
      <c r="J9" s="99">
        <v>45772</v>
      </c>
      <c r="K9" s="99">
        <v>45776</v>
      </c>
      <c r="L9" s="99">
        <f t="shared" si="3"/>
        <v>45776</v>
      </c>
      <c r="M9" s="99">
        <v>45777</v>
      </c>
      <c r="N9" s="99">
        <v>45804</v>
      </c>
      <c r="O9" s="99" t="s">
        <v>1679</v>
      </c>
      <c r="P9" s="99">
        <v>46014</v>
      </c>
      <c r="Q9" s="99">
        <v>46014</v>
      </c>
      <c r="R9" s="1409">
        <f t="shared" si="0"/>
        <v>4521074.4680399997</v>
      </c>
      <c r="S9" s="1409" t="s">
        <v>1657</v>
      </c>
      <c r="T9" s="611" t="s">
        <v>1197</v>
      </c>
      <c r="U9" s="1188" t="s">
        <v>964</v>
      </c>
      <c r="V9" s="1189"/>
      <c r="W9" s="1190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15">
        <f>2699.284/1000</f>
        <v>2.699284</v>
      </c>
      <c r="F10" s="115">
        <f t="shared" si="1"/>
        <v>19.061138</v>
      </c>
      <c r="G10" s="115" t="s">
        <v>1282</v>
      </c>
      <c r="H10" s="60">
        <f t="shared" si="2"/>
        <v>45890</v>
      </c>
      <c r="I10" s="110">
        <v>45892</v>
      </c>
      <c r="J10" s="110">
        <v>45896</v>
      </c>
      <c r="K10" s="732">
        <v>45904</v>
      </c>
      <c r="L10" s="60">
        <f t="shared" si="3"/>
        <v>45917</v>
      </c>
      <c r="M10" s="732">
        <v>45918</v>
      </c>
      <c r="N10" s="732">
        <v>45918</v>
      </c>
      <c r="O10" s="732" t="s">
        <v>1679</v>
      </c>
      <c r="P10" s="732" t="s">
        <v>1679</v>
      </c>
      <c r="Q10" s="60" t="s">
        <v>1679</v>
      </c>
      <c r="R10" s="1039">
        <f t="shared" si="0"/>
        <v>2587715.0072919601</v>
      </c>
      <c r="S10" s="1039" t="s">
        <v>1657</v>
      </c>
      <c r="T10" s="10" t="s">
        <v>1505</v>
      </c>
      <c r="U10" s="1140" t="s">
        <v>964</v>
      </c>
      <c r="V10" s="70" t="s">
        <v>1506</v>
      </c>
      <c r="W10" s="70"/>
      <c r="X10" s="70"/>
      <c r="Y10" s="70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61">
        <f>2434.77/1000</f>
        <v>2.4347699999999999</v>
      </c>
      <c r="F11" s="115">
        <f t="shared" si="1"/>
        <v>21.495908</v>
      </c>
      <c r="G11" s="115" t="s">
        <v>1282</v>
      </c>
      <c r="H11" s="60">
        <f t="shared" si="2"/>
        <v>45908</v>
      </c>
      <c r="I11" s="110">
        <v>45910</v>
      </c>
      <c r="J11" s="110">
        <v>45912</v>
      </c>
      <c r="K11" s="110">
        <v>45916</v>
      </c>
      <c r="L11" s="60">
        <f t="shared" si="3"/>
        <v>45924</v>
      </c>
      <c r="M11" s="732">
        <v>45925</v>
      </c>
      <c r="N11" s="732">
        <v>45925</v>
      </c>
      <c r="O11" s="732" t="s">
        <v>1679</v>
      </c>
      <c r="P11" s="732" t="s">
        <v>1679</v>
      </c>
      <c r="Q11" s="60" t="s">
        <v>1679</v>
      </c>
      <c r="R11" s="1039">
        <f t="shared" si="0"/>
        <v>2334134.1141962996</v>
      </c>
      <c r="S11" s="1039" t="s">
        <v>1657</v>
      </c>
      <c r="T11" s="10" t="s">
        <v>1505</v>
      </c>
      <c r="U11" s="1140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61">
        <f>4455/1000</f>
        <v>4.4550000000000001</v>
      </c>
      <c r="F12" s="115">
        <f t="shared" si="1"/>
        <v>25.950907999999998</v>
      </c>
      <c r="G12" s="115" t="s">
        <v>1282</v>
      </c>
      <c r="H12" s="60">
        <f t="shared" si="2"/>
        <v>45929</v>
      </c>
      <c r="I12" s="110">
        <v>45931</v>
      </c>
      <c r="J12" s="110">
        <v>45935</v>
      </c>
      <c r="K12" s="110">
        <v>45945</v>
      </c>
      <c r="L12" s="60">
        <f t="shared" si="3"/>
        <v>45951</v>
      </c>
      <c r="M12" s="732">
        <v>45952</v>
      </c>
      <c r="N12" s="732">
        <v>45952</v>
      </c>
      <c r="O12" s="732">
        <v>45958</v>
      </c>
      <c r="P12" s="732" t="s">
        <v>1679</v>
      </c>
      <c r="Q12" s="60" t="s">
        <v>1679</v>
      </c>
      <c r="R12" s="1039">
        <f t="shared" si="0"/>
        <v>4270862.3314499995</v>
      </c>
      <c r="S12" s="1039" t="s">
        <v>1657</v>
      </c>
      <c r="T12" s="10" t="s">
        <v>1505</v>
      </c>
      <c r="U12" s="988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61">
        <f>466.629/1000</f>
        <v>0.46662900000000002</v>
      </c>
      <c r="F13" s="115">
        <f t="shared" si="1"/>
        <v>26.417536999999999</v>
      </c>
      <c r="G13" s="115" t="s">
        <v>1281</v>
      </c>
      <c r="H13" s="60">
        <f t="shared" si="2"/>
        <v>45929</v>
      </c>
      <c r="I13" s="110">
        <v>45931</v>
      </c>
      <c r="J13" s="110">
        <v>45933</v>
      </c>
      <c r="K13" s="110">
        <v>45935</v>
      </c>
      <c r="L13" s="60">
        <f t="shared" si="3"/>
        <v>45956</v>
      </c>
      <c r="M13" s="732">
        <v>45957</v>
      </c>
      <c r="N13" s="732">
        <v>45957</v>
      </c>
      <c r="O13" s="732" t="s">
        <v>1682</v>
      </c>
      <c r="P13" s="732" t="s">
        <v>1679</v>
      </c>
      <c r="Q13" s="60" t="s">
        <v>1679</v>
      </c>
      <c r="R13" s="1039">
        <f t="shared" si="0"/>
        <v>447341.91220250999</v>
      </c>
      <c r="S13" s="1039" t="s">
        <v>1657</v>
      </c>
      <c r="T13" s="10" t="s">
        <v>1505</v>
      </c>
      <c r="U13" s="988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15">
        <f>4901.236/1000</f>
        <v>4.9012359999999999</v>
      </c>
      <c r="F14" s="115">
        <f t="shared" si="1"/>
        <v>31.318773</v>
      </c>
      <c r="G14" s="115" t="s">
        <v>1282</v>
      </c>
      <c r="H14" s="60">
        <f t="shared" si="2"/>
        <v>45973</v>
      </c>
      <c r="I14" s="110">
        <v>45975</v>
      </c>
      <c r="J14" s="110">
        <v>45980</v>
      </c>
      <c r="K14" s="110">
        <v>45984</v>
      </c>
      <c r="L14" s="60">
        <f t="shared" si="3"/>
        <v>45988</v>
      </c>
      <c r="M14" s="732">
        <v>45989</v>
      </c>
      <c r="N14" s="732">
        <v>45991</v>
      </c>
      <c r="O14" s="732">
        <v>46015</v>
      </c>
      <c r="P14" s="732">
        <v>46010</v>
      </c>
      <c r="Q14" s="60" t="s">
        <v>1679</v>
      </c>
      <c r="R14" s="1039">
        <f t="shared" si="0"/>
        <v>4698654.14364684</v>
      </c>
      <c r="S14" s="1039" t="s">
        <v>1657</v>
      </c>
      <c r="T14" s="10" t="s">
        <v>1505</v>
      </c>
      <c r="U14" s="1141" t="s">
        <v>964</v>
      </c>
      <c r="V14" s="2" t="s">
        <v>1529</v>
      </c>
    </row>
    <row r="15" spans="1:25" s="311" customFormat="1" ht="16.5" customHeight="1">
      <c r="A15" s="4">
        <v>10</v>
      </c>
      <c r="B15" s="65">
        <v>8</v>
      </c>
      <c r="C15" s="65" t="s">
        <v>673</v>
      </c>
      <c r="D15" s="65" t="s">
        <v>541</v>
      </c>
      <c r="E15" s="1184">
        <f>419.48/1000</f>
        <v>0.41948000000000002</v>
      </c>
      <c r="F15" s="557">
        <f t="shared" si="1"/>
        <v>31.738253</v>
      </c>
      <c r="G15" s="557" t="s">
        <v>1281</v>
      </c>
      <c r="H15" s="99">
        <f t="shared" si="2"/>
        <v>45986</v>
      </c>
      <c r="I15" s="732">
        <v>45988</v>
      </c>
      <c r="J15" s="732">
        <v>45966</v>
      </c>
      <c r="K15" s="732">
        <v>45970</v>
      </c>
      <c r="L15" s="99">
        <f t="shared" si="3"/>
        <v>46002</v>
      </c>
      <c r="M15" s="732">
        <v>46003</v>
      </c>
      <c r="N15" s="732">
        <f>M15</f>
        <v>46003</v>
      </c>
      <c r="O15" s="732">
        <v>46033</v>
      </c>
      <c r="P15" s="732">
        <v>46010</v>
      </c>
      <c r="Q15" s="60" t="s">
        <v>1679</v>
      </c>
      <c r="R15" s="1147">
        <f t="shared" si="0"/>
        <v>402141.71286119998</v>
      </c>
      <c r="S15" s="1147" t="s">
        <v>1657</v>
      </c>
      <c r="T15" s="65" t="s">
        <v>1505</v>
      </c>
      <c r="U15" s="1185" t="s">
        <v>964</v>
      </c>
    </row>
    <row r="16" spans="1:25" s="311" customFormat="1">
      <c r="A16" s="14">
        <v>11</v>
      </c>
      <c r="B16" s="65">
        <v>9</v>
      </c>
      <c r="C16" s="65" t="s">
        <v>540</v>
      </c>
      <c r="D16" s="65" t="s">
        <v>673</v>
      </c>
      <c r="E16" s="557">
        <f>4418.389/1000</f>
        <v>4.4183890000000003</v>
      </c>
      <c r="F16" s="557">
        <f t="shared" si="1"/>
        <v>36.156641999999998</v>
      </c>
      <c r="G16" s="557" t="s">
        <v>1282</v>
      </c>
      <c r="H16" s="732">
        <v>45985</v>
      </c>
      <c r="I16" s="732">
        <v>45996</v>
      </c>
      <c r="J16" s="732">
        <v>45998</v>
      </c>
      <c r="K16" s="732">
        <v>46003</v>
      </c>
      <c r="L16" s="99">
        <f t="shared" si="3"/>
        <v>46012</v>
      </c>
      <c r="M16" s="732">
        <v>46013</v>
      </c>
      <c r="N16" s="732">
        <v>46027</v>
      </c>
      <c r="O16" s="732">
        <v>46069</v>
      </c>
      <c r="P16" s="732">
        <v>46031</v>
      </c>
      <c r="Q16" s="60" t="s">
        <v>1679</v>
      </c>
      <c r="R16" s="1147">
        <f t="shared" ref="R16:R33" si="4">958667.19*E16</f>
        <v>4235764.5669569103</v>
      </c>
      <c r="S16" s="1147" t="s">
        <v>1657</v>
      </c>
      <c r="T16" s="65" t="s">
        <v>1505</v>
      </c>
      <c r="U16" s="1185" t="s">
        <v>964</v>
      </c>
    </row>
    <row r="17" spans="1:22" s="311" customFormat="1">
      <c r="A17" s="4">
        <v>12</v>
      </c>
      <c r="B17" s="65">
        <v>10</v>
      </c>
      <c r="C17" s="65" t="s">
        <v>1594</v>
      </c>
      <c r="D17" s="65" t="s">
        <v>1593</v>
      </c>
      <c r="E17" s="557">
        <f>2681.611/1000</f>
        <v>2.6816109999999997</v>
      </c>
      <c r="F17" s="557">
        <f t="shared" si="1"/>
        <v>38.838252999999995</v>
      </c>
      <c r="G17" s="557" t="s">
        <v>1282</v>
      </c>
      <c r="H17" s="99">
        <f t="shared" si="2"/>
        <v>46003</v>
      </c>
      <c r="I17" s="732">
        <v>46005</v>
      </c>
      <c r="J17" s="732">
        <v>46006</v>
      </c>
      <c r="K17" s="732">
        <v>46013</v>
      </c>
      <c r="L17" s="99">
        <f t="shared" si="3"/>
        <v>46021</v>
      </c>
      <c r="M17" s="732">
        <v>46022</v>
      </c>
      <c r="N17" s="732">
        <v>46024</v>
      </c>
      <c r="O17" s="732">
        <v>46074</v>
      </c>
      <c r="P17" s="732">
        <v>46041</v>
      </c>
      <c r="Q17" s="732">
        <v>46033</v>
      </c>
      <c r="R17" s="1147">
        <f t="shared" si="4"/>
        <v>2570772.4820430898</v>
      </c>
      <c r="S17" s="1147" t="s">
        <v>1657</v>
      </c>
      <c r="T17" s="65" t="s">
        <v>1505</v>
      </c>
      <c r="U17" s="1185" t="s">
        <v>964</v>
      </c>
    </row>
    <row r="18" spans="1:22" s="13" customFormat="1">
      <c r="A18" s="14">
        <v>13</v>
      </c>
      <c r="B18" s="10">
        <v>1</v>
      </c>
      <c r="C18" s="65" t="s">
        <v>539</v>
      </c>
      <c r="D18" s="65" t="s">
        <v>1598</v>
      </c>
      <c r="E18" s="557">
        <f>709.163/1000</f>
        <v>0.70916299999999999</v>
      </c>
      <c r="F18" s="115">
        <f t="shared" si="1"/>
        <v>39.547415999999991</v>
      </c>
      <c r="G18" s="1191" t="s">
        <v>1282</v>
      </c>
      <c r="H18" s="1062">
        <f t="shared" si="2"/>
        <v>46014</v>
      </c>
      <c r="I18" s="110">
        <v>46016</v>
      </c>
      <c r="J18" s="110">
        <v>46018</v>
      </c>
      <c r="K18" s="110">
        <v>46022</v>
      </c>
      <c r="L18" s="110">
        <v>46036</v>
      </c>
      <c r="M18" s="732">
        <v>46040</v>
      </c>
      <c r="N18" s="732">
        <v>46040</v>
      </c>
      <c r="O18" s="732" t="s">
        <v>1679</v>
      </c>
      <c r="P18" s="732" t="s">
        <v>1679</v>
      </c>
      <c r="Q18" s="732" t="s">
        <v>1679</v>
      </c>
      <c r="R18" s="1039">
        <f t="shared" si="4"/>
        <v>679851.30046196992</v>
      </c>
      <c r="S18" s="1039" t="s">
        <v>1657</v>
      </c>
      <c r="T18" s="10" t="s">
        <v>1505</v>
      </c>
      <c r="U18" s="988" t="s">
        <v>964</v>
      </c>
    </row>
    <row r="19" spans="1:22" s="13" customFormat="1">
      <c r="A19" s="4">
        <v>14</v>
      </c>
      <c r="B19" s="10">
        <v>2</v>
      </c>
      <c r="C19" s="65" t="str">
        <f>D21</f>
        <v>AP-33</v>
      </c>
      <c r="D19" s="65" t="s">
        <v>576</v>
      </c>
      <c r="E19" s="557">
        <f>4049.764/1000</f>
        <v>4.0497639999999997</v>
      </c>
      <c r="F19" s="115">
        <f t="shared" si="1"/>
        <v>43.597179999999994</v>
      </c>
      <c r="G19" s="115" t="s">
        <v>1282</v>
      </c>
      <c r="H19" s="110">
        <f>I19-5</f>
        <v>46021</v>
      </c>
      <c r="I19" s="110">
        <v>46026</v>
      </c>
      <c r="J19" s="110">
        <v>46029</v>
      </c>
      <c r="K19" s="110">
        <v>46035</v>
      </c>
      <c r="L19" s="110">
        <v>46043</v>
      </c>
      <c r="M19" s="732">
        <v>46046</v>
      </c>
      <c r="N19" s="732">
        <v>46047</v>
      </c>
      <c r="O19" s="732" t="s">
        <v>1679</v>
      </c>
      <c r="P19" s="732" t="s">
        <v>1679</v>
      </c>
      <c r="Q19" s="732" t="s">
        <v>1679</v>
      </c>
      <c r="R19" s="1039">
        <f>958667.19*E19</f>
        <v>3882375.8740431597</v>
      </c>
      <c r="S19" s="1039" t="s">
        <v>1657</v>
      </c>
      <c r="T19" s="10" t="s">
        <v>1197</v>
      </c>
      <c r="U19" s="988" t="s">
        <v>964</v>
      </c>
      <c r="V19" s="13" t="s">
        <v>1623</v>
      </c>
    </row>
    <row r="20" spans="1:22" s="13" customFormat="1">
      <c r="A20" s="14">
        <v>15</v>
      </c>
      <c r="B20" s="10">
        <v>3</v>
      </c>
      <c r="C20" s="65" t="s">
        <v>1614</v>
      </c>
      <c r="D20" s="65" t="s">
        <v>1615</v>
      </c>
      <c r="E20" s="557">
        <v>1.627</v>
      </c>
      <c r="F20" s="115">
        <f t="shared" si="1"/>
        <v>45.224179999999997</v>
      </c>
      <c r="G20" s="115" t="s">
        <v>1282</v>
      </c>
      <c r="H20" s="110">
        <v>46032</v>
      </c>
      <c r="I20" s="110">
        <v>46034</v>
      </c>
      <c r="J20" s="110">
        <v>46036</v>
      </c>
      <c r="K20" s="110">
        <v>46039</v>
      </c>
      <c r="L20" s="110">
        <v>46046</v>
      </c>
      <c r="M20" s="732">
        <v>46049</v>
      </c>
      <c r="N20" s="732">
        <v>46050</v>
      </c>
      <c r="O20" s="732" t="s">
        <v>1679</v>
      </c>
      <c r="P20" s="732" t="s">
        <v>1679</v>
      </c>
      <c r="Q20" s="732">
        <v>46054</v>
      </c>
      <c r="R20" s="1039">
        <f t="shared" si="4"/>
        <v>1559751.51813</v>
      </c>
      <c r="S20" s="1039" t="s">
        <v>1657</v>
      </c>
      <c r="T20" s="10" t="s">
        <v>1505</v>
      </c>
      <c r="U20" s="1142" t="s">
        <v>964</v>
      </c>
    </row>
    <row r="21" spans="1:22" s="616" customFormat="1">
      <c r="A21" s="4">
        <v>16</v>
      </c>
      <c r="B21" s="65">
        <v>4</v>
      </c>
      <c r="C21" s="65" t="s">
        <v>1550</v>
      </c>
      <c r="D21" s="65" t="s">
        <v>570</v>
      </c>
      <c r="E21" s="557">
        <v>0.84</v>
      </c>
      <c r="F21" s="115">
        <f t="shared" si="1"/>
        <v>46.06418</v>
      </c>
      <c r="G21" s="115" t="s">
        <v>1282</v>
      </c>
      <c r="H21" s="732">
        <f>I21-3</f>
        <v>46038</v>
      </c>
      <c r="I21" s="732">
        <f>J21+3</f>
        <v>46041</v>
      </c>
      <c r="J21" s="732">
        <v>46038</v>
      </c>
      <c r="K21" s="732">
        <v>46041</v>
      </c>
      <c r="L21" s="732">
        <v>46053</v>
      </c>
      <c r="M21" s="732">
        <v>46059</v>
      </c>
      <c r="N21" s="732">
        <f>M21+1</f>
        <v>46060</v>
      </c>
      <c r="O21" s="732" t="s">
        <v>1679</v>
      </c>
      <c r="P21" s="732" t="s">
        <v>1679</v>
      </c>
      <c r="Q21" s="732" t="s">
        <v>1679</v>
      </c>
      <c r="R21" s="1147">
        <f t="shared" si="4"/>
        <v>805280.43959999993</v>
      </c>
      <c r="S21" s="1147" t="s">
        <v>1657</v>
      </c>
      <c r="T21" s="65" t="s">
        <v>1197</v>
      </c>
      <c r="U21" s="1148" t="s">
        <v>964</v>
      </c>
    </row>
    <row r="22" spans="1:22" s="616" customFormat="1">
      <c r="A22" s="14">
        <v>17</v>
      </c>
      <c r="B22" s="65">
        <v>5</v>
      </c>
      <c r="C22" s="65" t="s">
        <v>1625</v>
      </c>
      <c r="D22" s="65" t="s">
        <v>1626</v>
      </c>
      <c r="E22" s="557">
        <v>3.2839999999999998</v>
      </c>
      <c r="F22" s="115">
        <f t="shared" si="1"/>
        <v>49.348179999999999</v>
      </c>
      <c r="G22" s="115" t="s">
        <v>1282</v>
      </c>
      <c r="H22" s="732">
        <f>J22-4</f>
        <v>46043</v>
      </c>
      <c r="I22" s="732">
        <f>H22+3</f>
        <v>46046</v>
      </c>
      <c r="J22" s="732">
        <v>46047</v>
      </c>
      <c r="K22" s="732">
        <v>46052</v>
      </c>
      <c r="L22" s="732">
        <v>46053</v>
      </c>
      <c r="M22" s="732">
        <v>46059</v>
      </c>
      <c r="N22" s="732">
        <f>M22+1</f>
        <v>46060</v>
      </c>
      <c r="O22" s="732" t="s">
        <v>1679</v>
      </c>
      <c r="P22" s="732" t="s">
        <v>1679</v>
      </c>
      <c r="Q22" s="732" t="s">
        <v>1679</v>
      </c>
      <c r="R22" s="1147">
        <f t="shared" si="4"/>
        <v>3148263.0519599998</v>
      </c>
      <c r="S22" s="1147" t="s">
        <v>1657</v>
      </c>
      <c r="T22" s="65" t="s">
        <v>1197</v>
      </c>
      <c r="U22" s="1148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15">
        <v>2.8370000000000002</v>
      </c>
      <c r="F23" s="557">
        <f t="shared" si="1"/>
        <v>52.185180000000003</v>
      </c>
      <c r="G23" s="115" t="s">
        <v>1282</v>
      </c>
      <c r="H23" s="732">
        <v>46062</v>
      </c>
      <c r="I23" s="110">
        <f>J23-3</f>
        <v>46068</v>
      </c>
      <c r="J23" s="110">
        <v>46071</v>
      </c>
      <c r="K23" s="110">
        <v>46079</v>
      </c>
      <c r="L23" s="110">
        <v>46080</v>
      </c>
      <c r="M23" s="110">
        <v>46084</v>
      </c>
      <c r="N23" s="110">
        <v>46086</v>
      </c>
      <c r="O23" s="732" t="s">
        <v>1680</v>
      </c>
      <c r="P23" s="732" t="s">
        <v>1679</v>
      </c>
      <c r="Q23" s="732" t="s">
        <v>1679</v>
      </c>
      <c r="R23" s="1222">
        <f>958667.19*E23</f>
        <v>2719738.8180300002</v>
      </c>
      <c r="S23" s="1147" t="s">
        <v>1657</v>
      </c>
      <c r="T23" s="10" t="s">
        <v>1505</v>
      </c>
      <c r="U23" s="49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15">
        <f>2691.467/1000</f>
        <v>2.6914670000000003</v>
      </c>
      <c r="F24" s="557">
        <f t="shared" si="1"/>
        <v>54.876647000000006</v>
      </c>
      <c r="G24" s="115" t="s">
        <v>1282</v>
      </c>
      <c r="H24" s="732">
        <v>46053</v>
      </c>
      <c r="I24" s="110">
        <f>J24-2</f>
        <v>46059</v>
      </c>
      <c r="J24" s="110">
        <v>46061</v>
      </c>
      <c r="K24" s="110">
        <v>46066</v>
      </c>
      <c r="L24" s="110">
        <v>46080</v>
      </c>
      <c r="M24" s="110">
        <v>46084</v>
      </c>
      <c r="N24" s="732">
        <v>46086</v>
      </c>
      <c r="O24" s="732" t="s">
        <v>1679</v>
      </c>
      <c r="P24" s="732" t="s">
        <v>1679</v>
      </c>
      <c r="Q24" s="732" t="s">
        <v>1679</v>
      </c>
      <c r="R24" s="1147">
        <f t="shared" si="4"/>
        <v>2580221.10586773</v>
      </c>
      <c r="S24" s="1147" t="s">
        <v>1657</v>
      </c>
      <c r="T24" s="10" t="s">
        <v>1505</v>
      </c>
      <c r="U24" s="49" t="s">
        <v>964</v>
      </c>
    </row>
    <row r="25" spans="1:22" s="311" customFormat="1">
      <c r="A25" s="1295">
        <v>20</v>
      </c>
      <c r="B25" s="65">
        <v>4</v>
      </c>
      <c r="C25" s="65" t="s">
        <v>268</v>
      </c>
      <c r="D25" s="65" t="s">
        <v>1250</v>
      </c>
      <c r="E25" s="557">
        <v>0.28999999999999998</v>
      </c>
      <c r="F25" s="557">
        <f t="shared" si="1"/>
        <v>55.166647000000005</v>
      </c>
      <c r="G25" s="557" t="s">
        <v>1281</v>
      </c>
      <c r="H25" s="732">
        <f>I25-2</f>
        <v>46063</v>
      </c>
      <c r="I25" s="732">
        <f>J25-2</f>
        <v>46065</v>
      </c>
      <c r="J25" s="732">
        <v>46067</v>
      </c>
      <c r="K25" s="732">
        <v>46071</v>
      </c>
      <c r="L25" s="732">
        <v>46090</v>
      </c>
      <c r="M25" s="732">
        <v>46094</v>
      </c>
      <c r="N25" s="732">
        <f>M25+1</f>
        <v>46095</v>
      </c>
      <c r="O25" s="732" t="s">
        <v>1681</v>
      </c>
      <c r="P25" s="732" t="s">
        <v>1679</v>
      </c>
      <c r="Q25" s="732" t="s">
        <v>1679</v>
      </c>
      <c r="R25" s="1147">
        <f>958667.19*E25</f>
        <v>278013.48509999999</v>
      </c>
      <c r="S25" s="1147" t="s">
        <v>1657</v>
      </c>
      <c r="T25" s="65" t="s">
        <v>1505</v>
      </c>
      <c r="U25" s="1296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15">
        <v>4.3330000000000002</v>
      </c>
      <c r="F26" s="557">
        <f t="shared" si="1"/>
        <v>59.499647000000003</v>
      </c>
      <c r="G26" s="115" t="s">
        <v>1282</v>
      </c>
      <c r="H26" s="732">
        <v>46024</v>
      </c>
      <c r="I26" s="110">
        <f>J26-2</f>
        <v>46061</v>
      </c>
      <c r="J26" s="110">
        <v>46063</v>
      </c>
      <c r="K26" s="110">
        <v>46068</v>
      </c>
      <c r="L26" s="110">
        <v>46083</v>
      </c>
      <c r="M26" s="732">
        <v>46091</v>
      </c>
      <c r="N26" s="732">
        <f>M26+1</f>
        <v>46092</v>
      </c>
      <c r="O26" s="732" t="s">
        <v>1679</v>
      </c>
      <c r="P26" s="732" t="s">
        <v>1679</v>
      </c>
      <c r="Q26" s="732" t="s">
        <v>1679</v>
      </c>
      <c r="R26" s="1147">
        <f t="shared" si="4"/>
        <v>4153904.9342700001</v>
      </c>
      <c r="S26" s="1147" t="s">
        <v>1657</v>
      </c>
      <c r="T26" s="10" t="s">
        <v>1197</v>
      </c>
      <c r="U26" s="49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57">
        <v>4.1239999999999997</v>
      </c>
      <c r="F27" s="557">
        <f t="shared" si="1"/>
        <v>63.623647000000005</v>
      </c>
      <c r="G27" s="115" t="s">
        <v>1282</v>
      </c>
      <c r="H27" s="732">
        <v>46069</v>
      </c>
      <c r="I27" s="110">
        <f>J27-2</f>
        <v>46078</v>
      </c>
      <c r="J27" s="110">
        <v>46080</v>
      </c>
      <c r="K27" s="110">
        <v>46087</v>
      </c>
      <c r="L27" s="110">
        <v>46093</v>
      </c>
      <c r="M27" s="732">
        <v>46097</v>
      </c>
      <c r="N27" s="732">
        <f>M27+1</f>
        <v>46098</v>
      </c>
      <c r="O27" s="732" t="s">
        <v>1679</v>
      </c>
      <c r="P27" s="732" t="s">
        <v>1679</v>
      </c>
      <c r="Q27" s="732" t="s">
        <v>1679</v>
      </c>
      <c r="R27" s="1147">
        <f t="shared" si="4"/>
        <v>3953543.4915599995</v>
      </c>
      <c r="S27" s="1147" t="s">
        <v>1657</v>
      </c>
      <c r="T27" s="10" t="s">
        <v>1197</v>
      </c>
      <c r="U27" s="49" t="s">
        <v>964</v>
      </c>
    </row>
    <row r="28" spans="1:22">
      <c r="A28" s="14">
        <v>23</v>
      </c>
      <c r="B28" s="10">
        <v>1</v>
      </c>
      <c r="C28" s="669" t="s">
        <v>263</v>
      </c>
      <c r="D28" s="669" t="s">
        <v>264</v>
      </c>
      <c r="E28" s="557">
        <f>4964.92/1000</f>
        <v>4.9649200000000002</v>
      </c>
      <c r="F28" s="557">
        <f t="shared" si="1"/>
        <v>68.588567000000012</v>
      </c>
      <c r="G28" s="115" t="s">
        <v>1282</v>
      </c>
      <c r="H28" s="114">
        <v>46084</v>
      </c>
      <c r="I28" s="110">
        <v>46101</v>
      </c>
      <c r="J28" s="110">
        <v>46109</v>
      </c>
      <c r="K28" s="110">
        <v>46114</v>
      </c>
      <c r="L28" s="110">
        <v>46118</v>
      </c>
      <c r="M28" s="110">
        <v>46122</v>
      </c>
      <c r="N28" s="110">
        <v>46122</v>
      </c>
      <c r="O28" s="110" t="s">
        <v>1679</v>
      </c>
      <c r="P28" s="732" t="s">
        <v>1679</v>
      </c>
      <c r="Q28" s="732" t="s">
        <v>1679</v>
      </c>
      <c r="R28" s="1147">
        <f t="shared" si="4"/>
        <v>4759705.9049747996</v>
      </c>
      <c r="S28" s="1147" t="s">
        <v>1657</v>
      </c>
      <c r="T28" s="10" t="s">
        <v>1505</v>
      </c>
      <c r="U28" s="49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57">
        <f>2669.007/1000</f>
        <v>2.6690070000000001</v>
      </c>
      <c r="F29" s="557">
        <f t="shared" si="1"/>
        <v>71.257574000000005</v>
      </c>
      <c r="G29" s="115" t="s">
        <v>1282</v>
      </c>
      <c r="H29" s="110">
        <f>I29-3</f>
        <v>46118</v>
      </c>
      <c r="I29" s="110">
        <v>46121</v>
      </c>
      <c r="J29" s="110">
        <v>46134</v>
      </c>
      <c r="K29" s="110">
        <v>46140</v>
      </c>
      <c r="L29" s="110">
        <v>46142</v>
      </c>
      <c r="M29" s="110">
        <v>46145</v>
      </c>
      <c r="N29" s="110">
        <v>46146</v>
      </c>
      <c r="O29" s="110" t="s">
        <v>1679</v>
      </c>
      <c r="P29" s="110" t="s">
        <v>1679</v>
      </c>
      <c r="Q29" s="732" t="s">
        <v>1679</v>
      </c>
      <c r="R29" s="1147">
        <f>958667.19*E29</f>
        <v>2558689.44078033</v>
      </c>
      <c r="S29" s="10"/>
      <c r="T29" s="10" t="s">
        <v>1197</v>
      </c>
      <c r="U29" s="49" t="s">
        <v>964</v>
      </c>
    </row>
    <row r="30" spans="1:22">
      <c r="A30" s="14">
        <v>25</v>
      </c>
      <c r="B30" s="10">
        <v>2</v>
      </c>
      <c r="C30" s="669" t="s">
        <v>264</v>
      </c>
      <c r="D30" s="669" t="s">
        <v>265</v>
      </c>
      <c r="E30" s="557">
        <f>1004.183/1000</f>
        <v>1.004183</v>
      </c>
      <c r="F30" s="557">
        <f t="shared" si="1"/>
        <v>72.261757000000003</v>
      </c>
      <c r="G30" s="115" t="s">
        <v>1282</v>
      </c>
      <c r="H30" s="110">
        <f>I30-4</f>
        <v>46112</v>
      </c>
      <c r="I30" s="110">
        <f>J30-3</f>
        <v>46116</v>
      </c>
      <c r="J30" s="110">
        <v>46119</v>
      </c>
      <c r="K30" s="110">
        <v>46121</v>
      </c>
      <c r="L30" s="110">
        <v>46154</v>
      </c>
      <c r="M30" s="110">
        <v>46158</v>
      </c>
      <c r="N30" s="110">
        <v>46158</v>
      </c>
      <c r="O30" s="110"/>
      <c r="P30" s="110" t="s">
        <v>1679</v>
      </c>
      <c r="Q30" s="732" t="s">
        <v>1679</v>
      </c>
      <c r="R30" s="1147">
        <f t="shared" si="4"/>
        <v>962677.29485576996</v>
      </c>
      <c r="S30" s="1147"/>
      <c r="T30" s="10" t="s">
        <v>1505</v>
      </c>
      <c r="U30" s="49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57">
        <f>2379.204/1000</f>
        <v>2.3792040000000001</v>
      </c>
      <c r="F31" s="557">
        <f t="shared" si="1"/>
        <v>74.640961000000004</v>
      </c>
      <c r="G31" s="115" t="s">
        <v>1282</v>
      </c>
      <c r="H31" s="110">
        <f>I31-4</f>
        <v>46140</v>
      </c>
      <c r="I31" s="110">
        <f>J31-6</f>
        <v>46144</v>
      </c>
      <c r="J31" s="110">
        <v>46150</v>
      </c>
      <c r="K31" s="110">
        <v>46154</v>
      </c>
      <c r="L31" s="110">
        <v>46155</v>
      </c>
      <c r="M31" s="110">
        <v>46158</v>
      </c>
      <c r="N31" s="110">
        <v>46158</v>
      </c>
      <c r="O31" s="110" t="s">
        <v>1679</v>
      </c>
      <c r="P31" s="110" t="s">
        <v>1679</v>
      </c>
      <c r="Q31" s="732" t="s">
        <v>1679</v>
      </c>
      <c r="R31" s="1147">
        <f>958667.19*E31</f>
        <v>2280864.81311676</v>
      </c>
      <c r="S31" s="10"/>
      <c r="T31" s="10" t="s">
        <v>1197</v>
      </c>
      <c r="U31" s="49" t="s">
        <v>964</v>
      </c>
    </row>
    <row r="32" spans="1:22" s="13" customFormat="1">
      <c r="A32" s="14">
        <v>27</v>
      </c>
      <c r="B32" s="10">
        <v>4</v>
      </c>
      <c r="C32" s="10" t="s">
        <v>60</v>
      </c>
      <c r="D32" s="669" t="s">
        <v>63</v>
      </c>
      <c r="E32" s="115">
        <f>2548.275/1000</f>
        <v>2.5482750000000003</v>
      </c>
      <c r="F32" s="557">
        <f t="shared" si="1"/>
        <v>77.189236000000008</v>
      </c>
      <c r="G32" s="10" t="s">
        <v>1282</v>
      </c>
      <c r="H32" s="110">
        <v>46159</v>
      </c>
      <c r="I32" s="110">
        <v>46162</v>
      </c>
      <c r="J32" s="110">
        <v>46162</v>
      </c>
      <c r="K32" s="110">
        <v>46165</v>
      </c>
      <c r="L32" s="110">
        <v>46166</v>
      </c>
      <c r="M32" s="110">
        <v>46169</v>
      </c>
      <c r="N32" s="110">
        <f>M32+1</f>
        <v>46170</v>
      </c>
      <c r="O32" s="110"/>
      <c r="P32" s="110" t="s">
        <v>1679</v>
      </c>
      <c r="Q32" s="732" t="s">
        <v>1679</v>
      </c>
      <c r="R32" s="1147">
        <f>958667.19*E32</f>
        <v>2442947.6335972501</v>
      </c>
      <c r="S32" s="10"/>
      <c r="T32" s="10" t="s">
        <v>1197</v>
      </c>
      <c r="U32" s="49" t="s">
        <v>964</v>
      </c>
    </row>
    <row r="33" spans="1:26" s="13" customFormat="1">
      <c r="A33" s="10">
        <v>28</v>
      </c>
      <c r="B33" s="10">
        <v>1</v>
      </c>
      <c r="C33" s="669" t="s">
        <v>265</v>
      </c>
      <c r="D33" s="669" t="s">
        <v>266</v>
      </c>
      <c r="E33" s="115">
        <f>242.89/1000</f>
        <v>0.24288999999999999</v>
      </c>
      <c r="F33" s="557">
        <f t="shared" si="1"/>
        <v>77.432126000000011</v>
      </c>
      <c r="G33" s="10" t="s">
        <v>1281</v>
      </c>
      <c r="H33" s="110">
        <f>I33-2</f>
        <v>46174</v>
      </c>
      <c r="I33" s="110">
        <f>J33-2</f>
        <v>46176</v>
      </c>
      <c r="J33" s="110">
        <v>46178</v>
      </c>
      <c r="K33" s="110">
        <v>46178</v>
      </c>
      <c r="L33" s="110">
        <v>46178</v>
      </c>
      <c r="M33" s="110">
        <v>46179</v>
      </c>
      <c r="N33" s="110">
        <v>46179</v>
      </c>
      <c r="O33" s="110"/>
      <c r="P33" s="110" t="s">
        <v>1679</v>
      </c>
      <c r="Q33" s="732" t="s">
        <v>1679</v>
      </c>
      <c r="R33" s="1147">
        <f t="shared" si="4"/>
        <v>232850.67377909998</v>
      </c>
      <c r="S33" s="10"/>
      <c r="T33" s="10" t="s">
        <v>1505</v>
      </c>
      <c r="U33" s="1317" t="s">
        <v>964</v>
      </c>
    </row>
    <row r="34" spans="1:26" s="13" customFormat="1">
      <c r="A34" s="14">
        <v>29</v>
      </c>
      <c r="B34" s="10">
        <v>2</v>
      </c>
      <c r="C34" s="10" t="s">
        <v>11</v>
      </c>
      <c r="D34" s="10" t="s">
        <v>167</v>
      </c>
      <c r="E34" s="115">
        <f>223.82/1000</f>
        <v>0.22381999999999999</v>
      </c>
      <c r="F34" s="557">
        <f t="shared" si="1"/>
        <v>77.655946000000014</v>
      </c>
      <c r="G34" s="10" t="s">
        <v>1281</v>
      </c>
      <c r="H34" s="110">
        <f>I34-2</f>
        <v>46174</v>
      </c>
      <c r="I34" s="110">
        <f>J34-4</f>
        <v>46176</v>
      </c>
      <c r="J34" s="110">
        <v>46180</v>
      </c>
      <c r="K34" s="110">
        <v>46185</v>
      </c>
      <c r="L34" s="110">
        <v>46180</v>
      </c>
      <c r="M34" s="110">
        <v>46185</v>
      </c>
      <c r="N34" s="110">
        <v>46185</v>
      </c>
      <c r="O34" s="110"/>
      <c r="P34" s="110" t="s">
        <v>1679</v>
      </c>
      <c r="Q34" s="110"/>
      <c r="R34" s="10"/>
      <c r="S34" s="10"/>
      <c r="T34" s="10" t="s">
        <v>1781</v>
      </c>
      <c r="U34" s="1317" t="s">
        <v>1799</v>
      </c>
    </row>
    <row r="35" spans="1:26" s="13" customFormat="1">
      <c r="A35" s="10">
        <v>30</v>
      </c>
      <c r="B35" s="10">
        <v>3</v>
      </c>
      <c r="C35" s="669" t="s">
        <v>267</v>
      </c>
      <c r="D35" s="669" t="s">
        <v>485</v>
      </c>
      <c r="E35" s="115">
        <f>416.878/1000</f>
        <v>0.41687799999999997</v>
      </c>
      <c r="F35" s="557">
        <f t="shared" si="1"/>
        <v>78.072824000000011</v>
      </c>
      <c r="G35" s="10" t="s">
        <v>1281</v>
      </c>
      <c r="H35" s="110">
        <v>46082</v>
      </c>
      <c r="I35" s="110">
        <v>46087</v>
      </c>
      <c r="J35" s="110">
        <v>46192</v>
      </c>
      <c r="K35" s="110">
        <v>46196</v>
      </c>
      <c r="L35" s="110">
        <v>46192</v>
      </c>
      <c r="M35" s="110">
        <v>46196</v>
      </c>
      <c r="N35" s="110">
        <v>46196</v>
      </c>
      <c r="O35" s="110"/>
      <c r="P35" s="110" t="s">
        <v>311</v>
      </c>
      <c r="Q35" s="110"/>
      <c r="R35" s="10"/>
      <c r="S35" s="10"/>
      <c r="T35" s="10" t="s">
        <v>1505</v>
      </c>
      <c r="U35" s="1317" t="s">
        <v>964</v>
      </c>
      <c r="V35" s="13" t="s">
        <v>1653</v>
      </c>
      <c r="W35" s="13" t="s">
        <v>1686</v>
      </c>
      <c r="Z35" s="13" t="s">
        <v>1833</v>
      </c>
    </row>
    <row r="36" spans="1:26" s="13" customFormat="1">
      <c r="A36" s="10">
        <v>31</v>
      </c>
      <c r="B36" s="10">
        <v>4</v>
      </c>
      <c r="C36" s="669" t="s">
        <v>485</v>
      </c>
      <c r="D36" s="669" t="s">
        <v>11</v>
      </c>
      <c r="E36" s="115">
        <f>480.27/1000</f>
        <v>0.48026999999999997</v>
      </c>
      <c r="F36" s="557">
        <f t="shared" si="1"/>
        <v>78.553094000000016</v>
      </c>
      <c r="G36" s="10" t="s">
        <v>1281</v>
      </c>
      <c r="H36" s="110">
        <v>46082</v>
      </c>
      <c r="I36" s="110">
        <v>46087</v>
      </c>
      <c r="J36" s="110">
        <v>46192</v>
      </c>
      <c r="K36" s="110">
        <v>46196</v>
      </c>
      <c r="L36" s="110">
        <v>46192</v>
      </c>
      <c r="M36" s="110">
        <v>46196</v>
      </c>
      <c r="N36" s="110">
        <v>46196</v>
      </c>
      <c r="O36" s="110"/>
      <c r="P36" s="110" t="s">
        <v>311</v>
      </c>
      <c r="Q36" s="110"/>
      <c r="R36" s="10"/>
      <c r="S36" s="10"/>
      <c r="T36" s="10" t="s">
        <v>1505</v>
      </c>
      <c r="U36" s="1317" t="s">
        <v>964</v>
      </c>
    </row>
    <row r="37" spans="1:26">
      <c r="A37" s="177">
        <v>32</v>
      </c>
      <c r="B37" s="177"/>
      <c r="C37" s="1273" t="s">
        <v>51</v>
      </c>
      <c r="D37" s="1273" t="s">
        <v>52</v>
      </c>
      <c r="E37" s="1276">
        <f>3030.029/1000</f>
        <v>3.0300289999999999</v>
      </c>
      <c r="F37" s="629">
        <f t="shared" si="1"/>
        <v>81.583123000000015</v>
      </c>
      <c r="G37" s="177" t="s">
        <v>1282</v>
      </c>
      <c r="H37" s="1274">
        <f>I37-4</f>
        <v>46180</v>
      </c>
      <c r="I37" s="1274">
        <f>J37-2</f>
        <v>46184</v>
      </c>
      <c r="J37" s="1274">
        <v>46186</v>
      </c>
      <c r="K37" s="1274">
        <v>46191</v>
      </c>
      <c r="L37" s="1274">
        <v>46198</v>
      </c>
      <c r="M37" s="1274"/>
      <c r="N37" s="1274"/>
      <c r="O37" s="1274"/>
      <c r="P37" s="1274"/>
      <c r="Q37" s="1274"/>
      <c r="R37" s="177"/>
      <c r="S37" s="177"/>
      <c r="T37" s="177" t="s">
        <v>1505</v>
      </c>
      <c r="U37" s="1275" t="s">
        <v>1855</v>
      </c>
    </row>
    <row r="38" spans="1:26">
      <c r="A38" s="177">
        <v>33</v>
      </c>
      <c r="B38" s="177"/>
      <c r="C38" s="1273" t="s">
        <v>71</v>
      </c>
      <c r="D38" s="1273" t="s">
        <v>8</v>
      </c>
      <c r="E38" s="1276">
        <f>4916.293/1000</f>
        <v>4.9162929999999996</v>
      </c>
      <c r="F38" s="629">
        <f t="shared" si="1"/>
        <v>86.499416000000011</v>
      </c>
      <c r="G38" s="177" t="s">
        <v>1282</v>
      </c>
      <c r="H38" s="1274">
        <f>I38-5</f>
        <v>46175</v>
      </c>
      <c r="I38" s="1274">
        <f>J38-6</f>
        <v>46180</v>
      </c>
      <c r="J38" s="1274">
        <v>46186</v>
      </c>
      <c r="K38" s="1274">
        <v>46199</v>
      </c>
      <c r="L38" s="1274">
        <v>46199</v>
      </c>
      <c r="M38" s="1274"/>
      <c r="N38" s="1274"/>
      <c r="O38" s="1274"/>
      <c r="P38" s="1274"/>
      <c r="Q38" s="1274"/>
      <c r="R38" s="177"/>
      <c r="S38" s="177"/>
      <c r="T38" s="177" t="s">
        <v>1197</v>
      </c>
      <c r="U38" s="1275" t="s">
        <v>1862</v>
      </c>
    </row>
    <row r="39" spans="1:26">
      <c r="A39" s="177">
        <v>34</v>
      </c>
      <c r="B39" s="1405"/>
      <c r="C39" s="1405" t="s">
        <v>57</v>
      </c>
      <c r="D39" s="1408" t="s">
        <v>58</v>
      </c>
      <c r="E39" s="1406">
        <f>'Stretch readiness '!C42/1000</f>
        <v>0.24403</v>
      </c>
      <c r="F39" s="629">
        <f t="shared" si="1"/>
        <v>86.743446000000006</v>
      </c>
      <c r="G39" s="177" t="s">
        <v>1281</v>
      </c>
      <c r="H39" s="1407">
        <v>46190</v>
      </c>
      <c r="I39" s="1407">
        <v>46191</v>
      </c>
      <c r="J39" s="1407">
        <v>46194</v>
      </c>
      <c r="K39" s="1407">
        <v>46199</v>
      </c>
      <c r="L39" s="1407">
        <v>46195</v>
      </c>
      <c r="M39" s="1407">
        <v>46199</v>
      </c>
      <c r="N39" s="1407">
        <v>46199</v>
      </c>
      <c r="O39" s="1407"/>
      <c r="P39" s="1407" t="s">
        <v>1679</v>
      </c>
      <c r="Q39" s="1407"/>
      <c r="R39" s="1405"/>
      <c r="S39" s="1405"/>
      <c r="T39" s="1405" t="s">
        <v>1781</v>
      </c>
      <c r="U39" s="1415" t="s">
        <v>964</v>
      </c>
    </row>
    <row r="40" spans="1:26">
      <c r="A40" s="177">
        <v>35</v>
      </c>
      <c r="B40" s="1405"/>
      <c r="C40" s="1405" t="s">
        <v>676</v>
      </c>
      <c r="D40" s="1408" t="s">
        <v>57</v>
      </c>
      <c r="E40" s="1406">
        <f>496.69/1000</f>
        <v>0.49669000000000002</v>
      </c>
      <c r="F40" s="629">
        <f t="shared" si="1"/>
        <v>87.240136000000007</v>
      </c>
      <c r="G40" s="177" t="s">
        <v>1281</v>
      </c>
      <c r="H40" s="1407">
        <v>46192</v>
      </c>
      <c r="I40" s="1407">
        <v>46193</v>
      </c>
      <c r="J40" s="1407">
        <v>46195</v>
      </c>
      <c r="K40" s="1407">
        <v>46199</v>
      </c>
      <c r="L40" s="1407">
        <v>46195</v>
      </c>
      <c r="M40" s="1407">
        <v>46199</v>
      </c>
      <c r="N40" s="1407"/>
      <c r="O40" s="1407"/>
      <c r="P40" s="1407"/>
      <c r="Q40" s="1407"/>
      <c r="R40" s="1405"/>
      <c r="S40" s="1405"/>
      <c r="T40" s="1405" t="s">
        <v>1843</v>
      </c>
      <c r="U40" s="1415" t="s">
        <v>964</v>
      </c>
    </row>
    <row r="41" spans="1:26">
      <c r="A41" s="177">
        <v>36</v>
      </c>
      <c r="B41" s="1405"/>
      <c r="C41" s="1405" t="s">
        <v>63</v>
      </c>
      <c r="D41" s="1408" t="s">
        <v>64</v>
      </c>
      <c r="E41" s="1406">
        <v>0.21121000000000001</v>
      </c>
      <c r="F41" s="629">
        <f t="shared" si="1"/>
        <v>87.451346000000001</v>
      </c>
      <c r="G41" s="177" t="s">
        <v>1281</v>
      </c>
      <c r="H41" s="1407"/>
      <c r="I41" s="1407"/>
      <c r="J41" s="1407"/>
      <c r="K41" s="1407"/>
      <c r="L41" s="1407"/>
      <c r="M41" s="1407"/>
      <c r="N41" s="1407"/>
      <c r="O41" s="1407"/>
      <c r="P41" s="1407"/>
      <c r="Q41" s="1407"/>
      <c r="R41" s="1405"/>
      <c r="S41" s="1405"/>
      <c r="T41" s="1405" t="s">
        <v>1197</v>
      </c>
      <c r="U41" s="1415" t="s">
        <v>1868</v>
      </c>
    </row>
    <row r="42" spans="1:26">
      <c r="A42" s="177">
        <v>37</v>
      </c>
      <c r="B42" s="177"/>
      <c r="C42" s="1273" t="s">
        <v>74</v>
      </c>
      <c r="D42" s="1273" t="s">
        <v>640</v>
      </c>
      <c r="E42" s="1276">
        <f>4665.918/1000</f>
        <v>4.6659179999999996</v>
      </c>
      <c r="F42" s="629">
        <f t="shared" si="1"/>
        <v>92.117264000000006</v>
      </c>
      <c r="G42" s="177" t="s">
        <v>1282</v>
      </c>
      <c r="H42" s="1274">
        <v>46194</v>
      </c>
      <c r="I42" s="1274"/>
      <c r="J42" s="1274"/>
      <c r="K42" s="1274"/>
      <c r="L42" s="1274"/>
      <c r="M42" s="1274"/>
      <c r="N42" s="1274"/>
      <c r="O42" s="1274"/>
      <c r="P42" s="1274"/>
      <c r="Q42" s="1274"/>
      <c r="R42" s="177"/>
      <c r="S42" s="177"/>
      <c r="T42" s="177" t="s">
        <v>1197</v>
      </c>
      <c r="U42" s="1275" t="s">
        <v>1863</v>
      </c>
    </row>
    <row r="43" spans="1:26">
      <c r="A43" s="177">
        <v>38</v>
      </c>
      <c r="B43" s="177"/>
      <c r="C43" s="1273" t="s">
        <v>167</v>
      </c>
      <c r="D43" s="1273" t="s">
        <v>12</v>
      </c>
      <c r="E43" s="1276">
        <f>5019.34/1000</f>
        <v>5.0193400000000006</v>
      </c>
      <c r="F43" s="629">
        <f t="shared" si="1"/>
        <v>97.136604000000005</v>
      </c>
      <c r="G43" s="177" t="s">
        <v>1282</v>
      </c>
      <c r="H43" s="177"/>
      <c r="I43" s="1274"/>
      <c r="J43" s="1274"/>
      <c r="K43" s="1274"/>
      <c r="L43" s="1274"/>
      <c r="M43" s="1274"/>
      <c r="N43" s="1274"/>
      <c r="O43" s="1274"/>
      <c r="P43" s="1274"/>
      <c r="Q43" s="1274"/>
      <c r="R43" s="177"/>
      <c r="S43" s="177"/>
      <c r="T43" s="177" t="s">
        <v>1505</v>
      </c>
      <c r="U43" s="1275" t="s">
        <v>1856</v>
      </c>
    </row>
    <row r="44" spans="1:26" ht="15" thickBot="1">
      <c r="A44" s="30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675"/>
    </row>
  </sheetData>
  <autoFilter ref="A5:Y43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7" priority="1"/>
  </conditionalFormatting>
  <conditionalFormatting sqref="D6:D13 D15">
    <cfRule type="duplicateValues" dxfId="206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48" activePane="bottomLeft" state="frozen"/>
      <selection activeCell="C296" sqref="C296"/>
      <selection pane="bottomLeft" activeCell="F5" sqref="F5"/>
    </sheetView>
  </sheetViews>
  <sheetFormatPr defaultColWidth="9.1796875" defaultRowHeight="13"/>
  <cols>
    <col min="1" max="1" width="8.54296875" style="832" customWidth="1"/>
    <col min="2" max="2" width="29.6328125" style="832" customWidth="1"/>
    <col min="3" max="3" width="17.54296875" style="832" customWidth="1"/>
    <col min="4" max="4" width="15.453125" style="832" customWidth="1"/>
    <col min="5" max="5" width="13.90625" style="832" customWidth="1"/>
    <col min="6" max="6" width="15.36328125" style="832" customWidth="1"/>
    <col min="7" max="7" width="12.08984375" style="832" customWidth="1"/>
    <col min="8" max="8" width="13.7265625" style="832" customWidth="1"/>
    <col min="9" max="9" width="13.26953125" style="832" customWidth="1"/>
    <col min="10" max="10" width="12.81640625" style="832" bestFit="1" customWidth="1"/>
    <col min="11" max="11" width="12.1796875" style="832" hidden="1" customWidth="1"/>
    <col min="12" max="12" width="36.54296875" style="832" customWidth="1"/>
    <col min="13" max="16384" width="9.1796875" style="832"/>
  </cols>
  <sheetData>
    <row r="1" spans="1:14" ht="9.75" customHeight="1"/>
    <row r="2" spans="1:14" ht="16.5" customHeight="1">
      <c r="A2" s="1573" t="s">
        <v>1342</v>
      </c>
      <c r="B2" s="1573"/>
      <c r="C2" s="1573"/>
      <c r="D2" s="1573"/>
      <c r="E2" s="1573"/>
      <c r="F2" s="1573"/>
      <c r="G2" s="1573"/>
      <c r="H2" s="1573"/>
      <c r="I2" s="1573"/>
      <c r="J2" s="1573"/>
      <c r="K2" s="1573"/>
      <c r="L2" s="1573"/>
    </row>
    <row r="3" spans="1:14" ht="16.5" customHeight="1">
      <c r="A3" s="844"/>
      <c r="B3" s="844"/>
      <c r="C3" s="844"/>
      <c r="D3" s="844"/>
      <c r="E3" s="844"/>
      <c r="F3" s="844"/>
      <c r="G3" s="844"/>
      <c r="H3" s="844"/>
      <c r="I3" s="844"/>
      <c r="J3" s="844"/>
      <c r="K3" s="844"/>
    </row>
    <row r="4" spans="1:14" ht="28.5" customHeight="1">
      <c r="A4" s="844"/>
      <c r="B4" s="854" t="s">
        <v>131</v>
      </c>
      <c r="C4" s="854" t="s">
        <v>1419</v>
      </c>
      <c r="D4" s="959" t="s">
        <v>1353</v>
      </c>
      <c r="E4" s="1108" t="s">
        <v>1597</v>
      </c>
      <c r="F4" s="1303" t="s">
        <v>1420</v>
      </c>
      <c r="G4" s="955" t="s">
        <v>1421</v>
      </c>
      <c r="H4" s="955" t="s">
        <v>1751</v>
      </c>
      <c r="K4" s="1128"/>
    </row>
    <row r="5" spans="1:14" ht="16.5" customHeight="1">
      <c r="A5" s="844"/>
      <c r="B5" s="855" t="s">
        <v>1346</v>
      </c>
      <c r="C5" s="960">
        <v>62</v>
      </c>
      <c r="D5" s="141">
        <f>SUM(C11:C72)/1000</f>
        <v>117.85605400000003</v>
      </c>
      <c r="E5" s="1304">
        <f>SUM(E6:E7)</f>
        <v>33</v>
      </c>
      <c r="F5" s="1109">
        <f>SUM(F6:F7)</f>
        <v>79.295450000000002</v>
      </c>
      <c r="G5" s="141">
        <f>D5-F5</f>
        <v>38.560604000000026</v>
      </c>
      <c r="H5" s="141"/>
      <c r="I5" s="832" t="s">
        <v>1795</v>
      </c>
      <c r="J5" s="832" t="s">
        <v>1796</v>
      </c>
      <c r="K5" s="1129"/>
    </row>
    <row r="6" spans="1:14" ht="16.5" customHeight="1">
      <c r="A6" s="844"/>
      <c r="B6" s="855" t="s">
        <v>1405</v>
      </c>
      <c r="C6" s="960">
        <v>37</v>
      </c>
      <c r="D6" s="141">
        <f>D5-D7</f>
        <v>109.28515900000002</v>
      </c>
      <c r="E6" s="960">
        <f>COUNTIFS($D$11:$D$72,"TSE",$L$11:$L$72,"Completed")</f>
        <v>24</v>
      </c>
      <c r="F6" s="1109">
        <f>SUMIFS($C$11:$C$72,$D$11:$D$72,"TSE",$L$11:$L$72,"Completed")/1000</f>
        <v>76.01455</v>
      </c>
      <c r="G6" s="141">
        <f>D6-F6</f>
        <v>33.270609000000022</v>
      </c>
      <c r="H6" s="1133">
        <v>2</v>
      </c>
      <c r="I6" s="847">
        <f>SUMIFS($C$11:$C$72,$D$11:$D$72,"TSE",$L$11:$L$72,"&lt;&gt;Completed")/1000</f>
        <v>33.270609000000007</v>
      </c>
      <c r="J6" s="832">
        <f>C6-E6</f>
        <v>13</v>
      </c>
      <c r="K6" s="1129"/>
      <c r="M6" s="832">
        <f>C6-E6</f>
        <v>13</v>
      </c>
      <c r="N6" s="847">
        <f>D6-F6</f>
        <v>33.270609000000022</v>
      </c>
    </row>
    <row r="7" spans="1:14" ht="16.5" customHeight="1">
      <c r="A7" s="844"/>
      <c r="B7" s="855" t="s">
        <v>1281</v>
      </c>
      <c r="C7" s="960">
        <v>25</v>
      </c>
      <c r="D7" s="141">
        <f>ROUNDUP(SUMIF($D$11:$D$72,$B7,$C$11:$C$72),3)/1000</f>
        <v>8.5708950000000002</v>
      </c>
      <c r="E7" s="960">
        <f>COUNTIFS($D$11:$D$72,"Manual",$L$11:$L$72,"Completed")</f>
        <v>9</v>
      </c>
      <c r="F7" s="1109">
        <f>SUMIFS($C$11:$C$72,$D$11:$D$72,"Manual",$L$11:$L$72,"Completed")/1000</f>
        <v>3.2809000000000004</v>
      </c>
      <c r="G7" s="141">
        <f>D7-F7</f>
        <v>5.2899949999999993</v>
      </c>
      <c r="H7" s="1133">
        <v>0</v>
      </c>
      <c r="I7" s="847">
        <f>SUMIFS($C$11:$C$72,$D$11:$D$72,"Manual",$L$11:$L$72,"&lt;&gt;Completed")/1000</f>
        <v>5.2899949999999993</v>
      </c>
      <c r="J7" s="832">
        <f>C7-E7</f>
        <v>16</v>
      </c>
      <c r="K7" s="1129"/>
      <c r="M7" s="832">
        <f>C7-E7</f>
        <v>16</v>
      </c>
      <c r="N7" s="847">
        <f>D7-F7</f>
        <v>5.2899949999999993</v>
      </c>
    </row>
    <row r="8" spans="1:14" ht="16.5" customHeight="1" thickBot="1">
      <c r="A8" s="844"/>
      <c r="B8" s="844"/>
      <c r="C8" s="844"/>
      <c r="D8" s="844"/>
      <c r="E8" s="844"/>
      <c r="F8" s="844"/>
      <c r="G8" s="844"/>
      <c r="H8" s="844"/>
    </row>
    <row r="9" spans="1:14" ht="25.5" customHeight="1">
      <c r="A9" s="1434" t="s">
        <v>1455</v>
      </c>
      <c r="B9" s="1567" t="s">
        <v>94</v>
      </c>
      <c r="C9" s="1567" t="s">
        <v>1422</v>
      </c>
      <c r="D9" s="1567" t="s">
        <v>1279</v>
      </c>
      <c r="E9" s="1567" t="s">
        <v>1280</v>
      </c>
      <c r="F9" s="1567" t="s">
        <v>1350</v>
      </c>
      <c r="G9" s="1569" t="s">
        <v>99</v>
      </c>
      <c r="H9" s="1570"/>
      <c r="I9" s="1569" t="s">
        <v>1345</v>
      </c>
      <c r="J9" s="1570"/>
      <c r="K9" s="1124"/>
      <c r="L9" s="1074" t="s">
        <v>1346</v>
      </c>
    </row>
    <row r="10" spans="1:14" ht="16.5" customHeight="1" thickBot="1">
      <c r="A10" s="1435"/>
      <c r="B10" s="1568"/>
      <c r="C10" s="1568"/>
      <c r="D10" s="1568"/>
      <c r="E10" s="1568"/>
      <c r="F10" s="1568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1579</v>
      </c>
      <c r="L10" s="24" t="s">
        <v>1</v>
      </c>
    </row>
    <row r="11" spans="1:14" s="1084" customFormat="1" ht="18.5">
      <c r="A11" s="1081">
        <f>IF(B11="","",SUBTOTAL(3,$B$11:B11))</f>
        <v>1</v>
      </c>
      <c r="B11" s="1082" t="s">
        <v>1352</v>
      </c>
      <c r="C11" s="1201">
        <v>150.01400000000001</v>
      </c>
      <c r="D11" s="1083" t="s">
        <v>1281</v>
      </c>
      <c r="E11" s="1083"/>
      <c r="F11" s="1083">
        <v>1</v>
      </c>
      <c r="G11" s="1083">
        <v>1</v>
      </c>
      <c r="H11" s="1083">
        <f>F11-G11</f>
        <v>0</v>
      </c>
      <c r="I11" s="1083">
        <v>1</v>
      </c>
      <c r="J11" s="1083">
        <f t="shared" ref="J11:J72" si="0">F11-I11</f>
        <v>0</v>
      </c>
      <c r="K11" s="1130" t="s">
        <v>1613</v>
      </c>
      <c r="L11" s="1095" t="s">
        <v>1774</v>
      </c>
    </row>
    <row r="12" spans="1:14" s="1096" customFormat="1" ht="18.5">
      <c r="A12" s="1181">
        <f>IF(B12="","",SUBTOTAL(3,$B$11:B12))</f>
        <v>2</v>
      </c>
      <c r="B12" s="1182" t="s">
        <v>1378</v>
      </c>
      <c r="C12" s="1100">
        <v>290.20999999999998</v>
      </c>
      <c r="D12" s="1101" t="s">
        <v>1281</v>
      </c>
      <c r="E12" s="1101"/>
      <c r="F12" s="1101">
        <v>1</v>
      </c>
      <c r="G12" s="1101">
        <v>1</v>
      </c>
      <c r="H12" s="1101">
        <f t="shared" ref="H12:H72" si="1">F12-G12</f>
        <v>0</v>
      </c>
      <c r="I12" s="1101">
        <v>1</v>
      </c>
      <c r="J12" s="1101">
        <f t="shared" si="0"/>
        <v>0</v>
      </c>
      <c r="K12" s="1183" t="s">
        <v>1611</v>
      </c>
      <c r="L12" s="1107" t="s">
        <v>255</v>
      </c>
      <c r="M12" s="1146"/>
    </row>
    <row r="13" spans="1:14" s="1084" customFormat="1" ht="18.5">
      <c r="A13" s="1086">
        <f>IF(B13="","",SUBTOTAL(3,$B$11:B13))</f>
        <v>3</v>
      </c>
      <c r="B13" s="1106" t="s">
        <v>1379</v>
      </c>
      <c r="C13" s="1088">
        <v>2836.9920000000002</v>
      </c>
      <c r="D13" s="1089" t="s">
        <v>1282</v>
      </c>
      <c r="E13" s="1089"/>
      <c r="F13" s="1089">
        <v>7</v>
      </c>
      <c r="G13" s="1089">
        <v>7</v>
      </c>
      <c r="H13" s="1089">
        <f t="shared" si="1"/>
        <v>0</v>
      </c>
      <c r="I13" s="1089">
        <v>7</v>
      </c>
      <c r="J13" s="1089">
        <f t="shared" si="0"/>
        <v>0</v>
      </c>
      <c r="K13" s="1131" t="s">
        <v>1611</v>
      </c>
      <c r="L13" s="1107" t="s">
        <v>255</v>
      </c>
      <c r="M13" s="1085"/>
    </row>
    <row r="14" spans="1:14" s="1084" customFormat="1" ht="18.5">
      <c r="A14" s="1086">
        <f>IF(B14="","",SUBTOTAL(3,$B$11:B14))</f>
        <v>4</v>
      </c>
      <c r="B14" s="1106" t="s">
        <v>1381</v>
      </c>
      <c r="C14" s="1088">
        <v>2691.4670000000001</v>
      </c>
      <c r="D14" s="1089" t="s">
        <v>1282</v>
      </c>
      <c r="E14" s="1089"/>
      <c r="F14" s="1089">
        <v>7</v>
      </c>
      <c r="G14" s="1089">
        <v>7</v>
      </c>
      <c r="H14" s="1089">
        <f t="shared" si="1"/>
        <v>0</v>
      </c>
      <c r="I14" s="1089">
        <v>7</v>
      </c>
      <c r="J14" s="1089">
        <f t="shared" si="0"/>
        <v>0</v>
      </c>
      <c r="K14" s="1131" t="s">
        <v>1611</v>
      </c>
      <c r="L14" s="1107" t="s">
        <v>255</v>
      </c>
      <c r="M14" s="1085"/>
    </row>
    <row r="15" spans="1:14" s="1084" customFormat="1" ht="18.5">
      <c r="A15" s="1086">
        <f>IF(B15="","",SUBTOTAL(3,$B$11:B15))</f>
        <v>5</v>
      </c>
      <c r="B15" s="1106" t="s">
        <v>1383</v>
      </c>
      <c r="C15" s="1088">
        <v>1627.07</v>
      </c>
      <c r="D15" s="1089" t="s">
        <v>1282</v>
      </c>
      <c r="E15" s="1089"/>
      <c r="F15" s="1089">
        <v>4</v>
      </c>
      <c r="G15" s="1089">
        <v>4</v>
      </c>
      <c r="H15" s="1089">
        <f t="shared" si="1"/>
        <v>0</v>
      </c>
      <c r="I15" s="1089">
        <v>4</v>
      </c>
      <c r="J15" s="1089">
        <f t="shared" si="0"/>
        <v>0</v>
      </c>
      <c r="K15" s="1131" t="s">
        <v>1611</v>
      </c>
      <c r="L15" s="1107" t="s">
        <v>255</v>
      </c>
      <c r="M15" s="1085" t="s">
        <v>1599</v>
      </c>
    </row>
    <row r="16" spans="1:14" s="1126" customFormat="1" ht="18.5">
      <c r="A16" s="1086">
        <f>IF(B16="","",SUBTOTAL(3,$B$11:B16))</f>
        <v>6</v>
      </c>
      <c r="B16" s="1106" t="s">
        <v>1290</v>
      </c>
      <c r="C16" s="1088">
        <v>709.16300000000001</v>
      </c>
      <c r="D16" s="1089" t="s">
        <v>1282</v>
      </c>
      <c r="E16" s="1089"/>
      <c r="F16" s="1089">
        <v>2</v>
      </c>
      <c r="G16" s="1089">
        <v>2</v>
      </c>
      <c r="H16" s="1089">
        <f t="shared" si="1"/>
        <v>0</v>
      </c>
      <c r="I16" s="1089">
        <v>2</v>
      </c>
      <c r="J16" s="1089">
        <f t="shared" si="0"/>
        <v>0</v>
      </c>
      <c r="K16" s="1131" t="s">
        <v>1619</v>
      </c>
      <c r="L16" s="1107" t="s">
        <v>255</v>
      </c>
      <c r="M16" s="1125"/>
    </row>
    <row r="17" spans="1:13" s="1126" customFormat="1" ht="18.5">
      <c r="A17" s="1086">
        <f>IF(B17="","",SUBTOTAL(3,$B$11:B17))</f>
        <v>7</v>
      </c>
      <c r="B17" s="1106" t="s">
        <v>1291</v>
      </c>
      <c r="C17" s="1088">
        <v>2681.6109999999999</v>
      </c>
      <c r="D17" s="1089" t="s">
        <v>1282</v>
      </c>
      <c r="E17" s="1089"/>
      <c r="F17" s="1089">
        <v>7</v>
      </c>
      <c r="G17" s="1089">
        <v>7</v>
      </c>
      <c r="H17" s="1089">
        <f t="shared" si="1"/>
        <v>0</v>
      </c>
      <c r="I17" s="1089">
        <v>7</v>
      </c>
      <c r="J17" s="1089">
        <f t="shared" si="0"/>
        <v>0</v>
      </c>
      <c r="K17" s="1131" t="s">
        <v>1619</v>
      </c>
      <c r="L17" s="1107" t="s">
        <v>255</v>
      </c>
      <c r="M17" s="1125"/>
    </row>
    <row r="18" spans="1:13" s="1084" customFormat="1" ht="18.5">
      <c r="A18" s="1086">
        <f>IF(B18="","",SUBTOTAL(3,$B$11:B18))</f>
        <v>8</v>
      </c>
      <c r="B18" s="1106" t="s">
        <v>1292</v>
      </c>
      <c r="C18" s="1088">
        <v>4418.3890000000001</v>
      </c>
      <c r="D18" s="1089" t="s">
        <v>1282</v>
      </c>
      <c r="E18" s="1089"/>
      <c r="F18" s="1089">
        <v>11</v>
      </c>
      <c r="G18" s="1089">
        <v>11</v>
      </c>
      <c r="H18" s="1089">
        <f t="shared" si="1"/>
        <v>0</v>
      </c>
      <c r="I18" s="1089">
        <v>11</v>
      </c>
      <c r="J18" s="1089">
        <f t="shared" si="0"/>
        <v>0</v>
      </c>
      <c r="K18" s="1131" t="s">
        <v>1619</v>
      </c>
      <c r="L18" s="1138" t="s">
        <v>255</v>
      </c>
      <c r="M18" s="1085"/>
    </row>
    <row r="19" spans="1:13" s="1111" customFormat="1" ht="18.5">
      <c r="A19" s="1086">
        <f>IF(B19="","",SUBTOTAL(3,$B$11:B19))</f>
        <v>9</v>
      </c>
      <c r="B19" s="1106" t="s">
        <v>1293</v>
      </c>
      <c r="C19" s="1088">
        <v>419.48</v>
      </c>
      <c r="D19" s="1089" t="s">
        <v>1281</v>
      </c>
      <c r="E19" s="1089"/>
      <c r="F19" s="1089">
        <v>1</v>
      </c>
      <c r="G19" s="1089">
        <v>1</v>
      </c>
      <c r="H19" s="1089">
        <f t="shared" si="1"/>
        <v>0</v>
      </c>
      <c r="I19" s="1089">
        <v>1</v>
      </c>
      <c r="J19" s="1089">
        <f t="shared" si="0"/>
        <v>0</v>
      </c>
      <c r="K19" s="1131" t="s">
        <v>1619</v>
      </c>
      <c r="L19" s="1107" t="s">
        <v>255</v>
      </c>
      <c r="M19" s="1110"/>
    </row>
    <row r="20" spans="1:13" s="1084" customFormat="1" ht="18.5">
      <c r="A20" s="1086">
        <f>IF(B20="","",SUBTOTAL(3,$B$11:B20))</f>
        <v>10</v>
      </c>
      <c r="B20" s="1106" t="s">
        <v>1294</v>
      </c>
      <c r="C20" s="1088">
        <v>4901.2360000000008</v>
      </c>
      <c r="D20" s="1089" t="s">
        <v>1282</v>
      </c>
      <c r="E20" s="1089"/>
      <c r="F20" s="1089">
        <v>13</v>
      </c>
      <c r="G20" s="1089">
        <v>13</v>
      </c>
      <c r="H20" s="1089">
        <f t="shared" si="1"/>
        <v>0</v>
      </c>
      <c r="I20" s="1089">
        <v>13</v>
      </c>
      <c r="J20" s="1089">
        <f t="shared" si="0"/>
        <v>0</v>
      </c>
      <c r="K20" s="1131" t="s">
        <v>1619</v>
      </c>
      <c r="L20" s="1107" t="s">
        <v>255</v>
      </c>
      <c r="M20" s="1085"/>
    </row>
    <row r="21" spans="1:13" s="1084" customFormat="1" ht="18.5">
      <c r="A21" s="1086">
        <f>IF(B21="","",SUBTOTAL(3,$B$11:B21))</f>
        <v>11</v>
      </c>
      <c r="B21" s="1087" t="s">
        <v>1295</v>
      </c>
      <c r="C21" s="1088">
        <v>2699.2840000000001</v>
      </c>
      <c r="D21" s="1089" t="s">
        <v>1282</v>
      </c>
      <c r="E21" s="1089"/>
      <c r="F21" s="1089">
        <v>7</v>
      </c>
      <c r="G21" s="1089">
        <v>7</v>
      </c>
      <c r="H21" s="1089">
        <f t="shared" si="1"/>
        <v>0</v>
      </c>
      <c r="I21" s="1089">
        <v>7</v>
      </c>
      <c r="J21" s="1089">
        <f t="shared" si="0"/>
        <v>0</v>
      </c>
      <c r="K21" s="1131" t="s">
        <v>1619</v>
      </c>
      <c r="L21" s="1090" t="s">
        <v>255</v>
      </c>
    </row>
    <row r="22" spans="1:13" s="1084" customFormat="1" ht="18.5">
      <c r="A22" s="1086">
        <f>IF(B22="","",SUBTOTAL(3,$B$11:B22))</f>
        <v>12</v>
      </c>
      <c r="B22" s="1087" t="s">
        <v>1296</v>
      </c>
      <c r="C22" s="1088">
        <v>2434.77</v>
      </c>
      <c r="D22" s="1089" t="s">
        <v>1282</v>
      </c>
      <c r="E22" s="1089"/>
      <c r="F22" s="1089">
        <v>6</v>
      </c>
      <c r="G22" s="1089">
        <v>6</v>
      </c>
      <c r="H22" s="1089">
        <f t="shared" si="1"/>
        <v>0</v>
      </c>
      <c r="I22" s="1089">
        <v>6</v>
      </c>
      <c r="J22" s="1089">
        <f t="shared" si="0"/>
        <v>0</v>
      </c>
      <c r="K22" s="1131" t="s">
        <v>1619</v>
      </c>
      <c r="L22" s="1090" t="s">
        <v>255</v>
      </c>
    </row>
    <row r="23" spans="1:13" s="1084" customFormat="1" ht="18.5">
      <c r="A23" s="1086">
        <f>IF(B23="","",SUBTOTAL(3,$B$11:B23))</f>
        <v>13</v>
      </c>
      <c r="B23" s="1087" t="s">
        <v>1297</v>
      </c>
      <c r="C23" s="1088">
        <v>4455</v>
      </c>
      <c r="D23" s="1089" t="s">
        <v>1282</v>
      </c>
      <c r="E23" s="1089"/>
      <c r="F23" s="1089">
        <v>12</v>
      </c>
      <c r="G23" s="1089">
        <v>12</v>
      </c>
      <c r="H23" s="1089">
        <f t="shared" si="1"/>
        <v>0</v>
      </c>
      <c r="I23" s="1089">
        <v>12</v>
      </c>
      <c r="J23" s="1089">
        <f t="shared" si="0"/>
        <v>0</v>
      </c>
      <c r="K23" s="1131" t="s">
        <v>1619</v>
      </c>
      <c r="L23" s="1090" t="s">
        <v>255</v>
      </c>
    </row>
    <row r="24" spans="1:13" s="1084" customFormat="1" ht="18.5">
      <c r="A24" s="1086">
        <f>IF(B24="","",SUBTOTAL(3,$B$11:B24))</f>
        <v>14</v>
      </c>
      <c r="B24" s="1087" t="s">
        <v>1298</v>
      </c>
      <c r="C24" s="1088">
        <v>466.63</v>
      </c>
      <c r="D24" s="1089" t="s">
        <v>1281</v>
      </c>
      <c r="E24" s="1089"/>
      <c r="F24" s="1089">
        <v>1</v>
      </c>
      <c r="G24" s="1089">
        <v>1</v>
      </c>
      <c r="H24" s="1089">
        <f t="shared" si="1"/>
        <v>0</v>
      </c>
      <c r="I24" s="1089">
        <v>1</v>
      </c>
      <c r="J24" s="1089">
        <f t="shared" si="0"/>
        <v>0</v>
      </c>
      <c r="K24" s="1131" t="s">
        <v>1619</v>
      </c>
      <c r="L24" s="1090" t="s">
        <v>255</v>
      </c>
    </row>
    <row r="25" spans="1:13" s="1084" customFormat="1" ht="18.5">
      <c r="A25" s="1086">
        <f>IF(B25="","",SUBTOTAL(3,$B$11:B25))</f>
        <v>15</v>
      </c>
      <c r="B25" s="1087" t="s">
        <v>1299</v>
      </c>
      <c r="C25" s="1088">
        <v>4964.92</v>
      </c>
      <c r="D25" s="1089" t="s">
        <v>1282</v>
      </c>
      <c r="E25" s="1089"/>
      <c r="F25" s="1089">
        <v>12</v>
      </c>
      <c r="G25" s="1089">
        <v>12</v>
      </c>
      <c r="H25" s="1089">
        <f t="shared" si="1"/>
        <v>0</v>
      </c>
      <c r="I25" s="1089">
        <v>12</v>
      </c>
      <c r="J25" s="1089">
        <f t="shared" si="0"/>
        <v>0</v>
      </c>
      <c r="K25" s="1131" t="s">
        <v>1611</v>
      </c>
      <c r="L25" s="1090" t="s">
        <v>255</v>
      </c>
    </row>
    <row r="26" spans="1:13" s="1084" customFormat="1" ht="18.5">
      <c r="A26" s="1086">
        <f>IF(B26="","",SUBTOTAL(3,$B$11:B26))</f>
        <v>16</v>
      </c>
      <c r="B26" s="1087" t="s">
        <v>1300</v>
      </c>
      <c r="C26" s="1088">
        <v>1004.183</v>
      </c>
      <c r="D26" s="1089" t="s">
        <v>1282</v>
      </c>
      <c r="E26" s="1089"/>
      <c r="F26" s="1089">
        <v>3</v>
      </c>
      <c r="G26" s="1089">
        <v>3</v>
      </c>
      <c r="H26" s="1089">
        <f t="shared" si="1"/>
        <v>0</v>
      </c>
      <c r="I26" s="1089">
        <v>3</v>
      </c>
      <c r="J26" s="1089">
        <f t="shared" si="0"/>
        <v>0</v>
      </c>
      <c r="K26" s="1131" t="s">
        <v>1612</v>
      </c>
      <c r="L26" s="1090" t="s">
        <v>255</v>
      </c>
    </row>
    <row r="27" spans="1:13" s="1277" customFormat="1" ht="18.5">
      <c r="A27" s="1098">
        <f>IF(B27="","",SUBTOTAL(3,$B$11:B27))</f>
        <v>17</v>
      </c>
      <c r="B27" s="1099" t="s">
        <v>1301</v>
      </c>
      <c r="C27" s="1100">
        <v>242.89</v>
      </c>
      <c r="D27" s="1101" t="s">
        <v>1281</v>
      </c>
      <c r="E27" s="1101" t="s">
        <v>689</v>
      </c>
      <c r="F27" s="1101">
        <v>1</v>
      </c>
      <c r="G27" s="1101">
        <v>1</v>
      </c>
      <c r="H27" s="1101">
        <f t="shared" si="1"/>
        <v>0</v>
      </c>
      <c r="I27" s="1101">
        <v>1</v>
      </c>
      <c r="J27" s="1101">
        <f t="shared" si="0"/>
        <v>0</v>
      </c>
      <c r="K27" s="1183" t="s">
        <v>1612</v>
      </c>
      <c r="L27" s="1315" t="s">
        <v>255</v>
      </c>
      <c r="M27" s="1277" t="s">
        <v>1599</v>
      </c>
    </row>
    <row r="28" spans="1:13" s="1096" customFormat="1" ht="18.5">
      <c r="A28" s="1097">
        <f>IF(B28="","",SUBTOTAL(3,$B$11:B28))</f>
        <v>18</v>
      </c>
      <c r="B28" s="1092" t="s">
        <v>1302</v>
      </c>
      <c r="C28" s="1093">
        <v>329.73</v>
      </c>
      <c r="D28" s="1094" t="s">
        <v>1281</v>
      </c>
      <c r="E28" s="1094" t="s">
        <v>1283</v>
      </c>
      <c r="F28" s="1094">
        <v>1</v>
      </c>
      <c r="G28" s="1094">
        <v>1</v>
      </c>
      <c r="H28" s="1094">
        <f t="shared" si="1"/>
        <v>0</v>
      </c>
      <c r="I28" s="1094">
        <v>1</v>
      </c>
      <c r="J28" s="1094">
        <f t="shared" si="0"/>
        <v>0</v>
      </c>
      <c r="K28" s="1132" t="s">
        <v>1612</v>
      </c>
      <c r="L28" s="1179" t="s">
        <v>1651</v>
      </c>
    </row>
    <row r="29" spans="1:13" s="1096" customFormat="1" ht="18.5">
      <c r="A29" s="1098">
        <f>IF(B29="","",SUBTOTAL(3,$B$11:B29))</f>
        <v>19</v>
      </c>
      <c r="B29" s="1099" t="s">
        <v>1303</v>
      </c>
      <c r="C29" s="1100">
        <v>416.88</v>
      </c>
      <c r="D29" s="1101" t="s">
        <v>1281</v>
      </c>
      <c r="E29" s="1101"/>
      <c r="F29" s="1101">
        <v>1</v>
      </c>
      <c r="G29" s="1101">
        <v>1</v>
      </c>
      <c r="H29" s="1101">
        <f t="shared" si="1"/>
        <v>0</v>
      </c>
      <c r="I29" s="1101">
        <v>1</v>
      </c>
      <c r="J29" s="1101">
        <f t="shared" si="0"/>
        <v>0</v>
      </c>
      <c r="K29" s="1183" t="s">
        <v>1612</v>
      </c>
      <c r="L29" s="1249" t="s">
        <v>255</v>
      </c>
    </row>
    <row r="30" spans="1:13" s="1096" customFormat="1" ht="18.5">
      <c r="A30" s="1181">
        <f>IF(B30="","",SUBTOTAL(3,$B$11:B30))</f>
        <v>20</v>
      </c>
      <c r="B30" s="1099" t="s">
        <v>1304</v>
      </c>
      <c r="C30" s="1100">
        <v>480.27</v>
      </c>
      <c r="D30" s="1101" t="s">
        <v>1281</v>
      </c>
      <c r="E30" s="1101"/>
      <c r="F30" s="1101">
        <v>1</v>
      </c>
      <c r="G30" s="1101">
        <v>1</v>
      </c>
      <c r="H30" s="1101">
        <f t="shared" si="1"/>
        <v>0</v>
      </c>
      <c r="I30" s="1101">
        <v>1</v>
      </c>
      <c r="J30" s="1101">
        <f t="shared" si="0"/>
        <v>0</v>
      </c>
      <c r="K30" s="1183" t="s">
        <v>1612</v>
      </c>
      <c r="L30" s="1249" t="s">
        <v>255</v>
      </c>
    </row>
    <row r="31" spans="1:13" s="1096" customFormat="1" ht="18.5">
      <c r="A31" s="1416">
        <f>IF(B31="","",SUBTOTAL(3,$B$11:B31))</f>
        <v>21</v>
      </c>
      <c r="B31" s="1417" t="s">
        <v>1305</v>
      </c>
      <c r="C31" s="1100">
        <v>223.82</v>
      </c>
      <c r="D31" s="1101" t="s">
        <v>1281</v>
      </c>
      <c r="E31" s="1101" t="s">
        <v>1284</v>
      </c>
      <c r="F31" s="1101">
        <v>1</v>
      </c>
      <c r="G31" s="1101">
        <v>1</v>
      </c>
      <c r="H31" s="1101">
        <f t="shared" si="1"/>
        <v>0</v>
      </c>
      <c r="I31" s="1101">
        <v>1</v>
      </c>
      <c r="J31" s="1101">
        <f t="shared" si="0"/>
        <v>0</v>
      </c>
      <c r="K31" s="1183" t="s">
        <v>1612</v>
      </c>
      <c r="L31" s="1249" t="s">
        <v>255</v>
      </c>
    </row>
    <row r="32" spans="1:13" s="1096" customFormat="1" ht="18.5">
      <c r="A32" s="1376">
        <f>IF(B32="","",SUBTOTAL(3,$B$11:B32))</f>
        <v>22</v>
      </c>
      <c r="B32" s="1173" t="s">
        <v>1306</v>
      </c>
      <c r="C32" s="1161">
        <v>5019.34</v>
      </c>
      <c r="D32" s="1162" t="s">
        <v>1282</v>
      </c>
      <c r="E32" s="1162"/>
      <c r="F32" s="1162">
        <v>13</v>
      </c>
      <c r="G32" s="1162">
        <v>13</v>
      </c>
      <c r="H32" s="1162">
        <f t="shared" si="1"/>
        <v>0</v>
      </c>
      <c r="I32" s="1162">
        <v>12</v>
      </c>
      <c r="J32" s="1162">
        <f t="shared" si="0"/>
        <v>1</v>
      </c>
      <c r="K32" s="1163" t="s">
        <v>1612</v>
      </c>
      <c r="L32" s="1164" t="s">
        <v>1783</v>
      </c>
    </row>
    <row r="33" spans="1:12" s="1096" customFormat="1" ht="18.5">
      <c r="A33" s="1091">
        <f>IF(B33="","",SUBTOTAL(3,$B$11:B33))</f>
        <v>23</v>
      </c>
      <c r="B33" s="1092" t="s">
        <v>1307</v>
      </c>
      <c r="C33" s="1093">
        <v>392.69</v>
      </c>
      <c r="D33" s="1094" t="s">
        <v>1281</v>
      </c>
      <c r="E33" s="1094"/>
      <c r="F33" s="1094">
        <v>1</v>
      </c>
      <c r="G33" s="1094">
        <v>1</v>
      </c>
      <c r="H33" s="1094">
        <f t="shared" si="1"/>
        <v>0</v>
      </c>
      <c r="I33" s="1094">
        <v>1</v>
      </c>
      <c r="J33" s="1094">
        <f t="shared" si="0"/>
        <v>0</v>
      </c>
      <c r="K33" s="1132" t="s">
        <v>1612</v>
      </c>
      <c r="L33" s="1095"/>
    </row>
    <row r="34" spans="1:12" s="1096" customFormat="1" ht="18.5">
      <c r="A34" s="1091">
        <f>IF(B34="","",SUBTOTAL(3,$B$11:B34))</f>
        <v>24</v>
      </c>
      <c r="B34" s="1092" t="s">
        <v>1308</v>
      </c>
      <c r="C34" s="1093">
        <v>398.4</v>
      </c>
      <c r="D34" s="1094" t="s">
        <v>1281</v>
      </c>
      <c r="E34" s="1094"/>
      <c r="F34" s="1094">
        <v>1</v>
      </c>
      <c r="G34" s="1094">
        <v>1</v>
      </c>
      <c r="H34" s="1094">
        <f t="shared" si="1"/>
        <v>0</v>
      </c>
      <c r="I34" s="1094">
        <v>1</v>
      </c>
      <c r="J34" s="1094">
        <f t="shared" si="0"/>
        <v>0</v>
      </c>
      <c r="K34" s="1132" t="s">
        <v>1612</v>
      </c>
      <c r="L34" s="1154"/>
    </row>
    <row r="35" spans="1:12" s="1096" customFormat="1" ht="18.5">
      <c r="A35" s="1377">
        <f>IF(B35="","",SUBTOTAL(3,$B$11:B35))</f>
        <v>25</v>
      </c>
      <c r="B35" s="1378" t="s">
        <v>1309</v>
      </c>
      <c r="C35" s="1379">
        <v>3030.0290000000005</v>
      </c>
      <c r="D35" s="1380" t="s">
        <v>1282</v>
      </c>
      <c r="E35" s="1380"/>
      <c r="F35" s="1380">
        <v>8</v>
      </c>
      <c r="G35" s="1380">
        <v>8</v>
      </c>
      <c r="H35" s="1380">
        <f t="shared" si="1"/>
        <v>0</v>
      </c>
      <c r="I35" s="1380">
        <v>8</v>
      </c>
      <c r="J35" s="1380">
        <f t="shared" si="0"/>
        <v>0</v>
      </c>
      <c r="K35" s="1381" t="s">
        <v>1612</v>
      </c>
      <c r="L35" s="1382" t="s">
        <v>311</v>
      </c>
    </row>
    <row r="36" spans="1:12" s="1096" customFormat="1" ht="18.5">
      <c r="A36" s="1155">
        <f>IF(B36="","",SUBTOTAL(3,$B$11:B36))</f>
        <v>26</v>
      </c>
      <c r="B36" s="1156" t="s">
        <v>1310</v>
      </c>
      <c r="C36" s="1157">
        <v>279.36</v>
      </c>
      <c r="D36" s="1158" t="s">
        <v>1281</v>
      </c>
      <c r="E36" s="1158" t="s">
        <v>1351</v>
      </c>
      <c r="F36" s="1158">
        <v>1</v>
      </c>
      <c r="G36" s="1158">
        <v>1</v>
      </c>
      <c r="H36" s="1158">
        <f t="shared" si="1"/>
        <v>0</v>
      </c>
      <c r="I36" s="1158">
        <v>1</v>
      </c>
      <c r="J36" s="1158">
        <f t="shared" si="0"/>
        <v>0</v>
      </c>
      <c r="K36" s="1159" t="s">
        <v>1612</v>
      </c>
      <c r="L36" s="1154"/>
    </row>
    <row r="37" spans="1:12" s="1096" customFormat="1" ht="18.5">
      <c r="A37" s="1155">
        <f>IF(B37="","",SUBTOTAL(3,$B$11:B37))</f>
        <v>27</v>
      </c>
      <c r="B37" s="1156" t="s">
        <v>1311</v>
      </c>
      <c r="C37" s="1157">
        <v>2550.1669999999999</v>
      </c>
      <c r="D37" s="1158" t="s">
        <v>1282</v>
      </c>
      <c r="E37" s="1158"/>
      <c r="F37" s="1158">
        <v>7</v>
      </c>
      <c r="G37" s="1158">
        <v>7</v>
      </c>
      <c r="H37" s="1158">
        <f t="shared" si="1"/>
        <v>0</v>
      </c>
      <c r="I37" s="1158">
        <v>7</v>
      </c>
      <c r="J37" s="1158">
        <f t="shared" si="0"/>
        <v>0</v>
      </c>
      <c r="K37" s="1159" t="s">
        <v>1613</v>
      </c>
      <c r="L37" s="1154"/>
    </row>
    <row r="38" spans="1:12" s="1096" customFormat="1" ht="18.5">
      <c r="A38" s="1155">
        <f>IF(B38="","",SUBTOTAL(3,$B$11:B38))</f>
        <v>28</v>
      </c>
      <c r="B38" s="1156" t="s">
        <v>1312</v>
      </c>
      <c r="C38" s="1157">
        <v>2283.5349999999999</v>
      </c>
      <c r="D38" s="1158" t="s">
        <v>1282</v>
      </c>
      <c r="E38" s="1158"/>
      <c r="F38" s="1158">
        <v>6</v>
      </c>
      <c r="G38" s="1158">
        <v>6</v>
      </c>
      <c r="H38" s="1158">
        <f t="shared" si="1"/>
        <v>0</v>
      </c>
      <c r="I38" s="1158">
        <v>6</v>
      </c>
      <c r="J38" s="1158">
        <f t="shared" si="0"/>
        <v>0</v>
      </c>
      <c r="K38" s="1159" t="s">
        <v>1613</v>
      </c>
      <c r="L38" s="1154"/>
    </row>
    <row r="39" spans="1:12" s="1096" customFormat="1" ht="18.5">
      <c r="A39" s="1155">
        <f>IF(B39="","",SUBTOTAL(3,$B$11:B39))</f>
        <v>29</v>
      </c>
      <c r="B39" s="1156" t="s">
        <v>1313</v>
      </c>
      <c r="C39" s="1157">
        <v>259.05</v>
      </c>
      <c r="D39" s="1158" t="s">
        <v>1281</v>
      </c>
      <c r="E39" s="1158" t="s">
        <v>1285</v>
      </c>
      <c r="F39" s="1158">
        <v>1</v>
      </c>
      <c r="G39" s="1158">
        <v>1</v>
      </c>
      <c r="H39" s="1158">
        <f t="shared" si="1"/>
        <v>0</v>
      </c>
      <c r="I39" s="1158">
        <v>1</v>
      </c>
      <c r="J39" s="1158">
        <f t="shared" si="0"/>
        <v>0</v>
      </c>
      <c r="K39" s="1159" t="s">
        <v>1613</v>
      </c>
      <c r="L39" s="1154"/>
    </row>
    <row r="40" spans="1:12" s="1096" customFormat="1" ht="18.5">
      <c r="A40" s="1091">
        <f>IF(B40="","",SUBTOTAL(3,$B$11:B40))</f>
        <v>30</v>
      </c>
      <c r="B40" s="1092" t="s">
        <v>1314</v>
      </c>
      <c r="C40" s="1093">
        <v>440.46</v>
      </c>
      <c r="D40" s="1094" t="s">
        <v>1281</v>
      </c>
      <c r="E40" s="1094"/>
      <c r="F40" s="1094">
        <v>1</v>
      </c>
      <c r="G40" s="1094">
        <v>1</v>
      </c>
      <c r="H40" s="1094">
        <f t="shared" si="1"/>
        <v>0</v>
      </c>
      <c r="I40" s="1094">
        <v>1</v>
      </c>
      <c r="J40" s="1094">
        <f t="shared" si="0"/>
        <v>0</v>
      </c>
      <c r="K40" s="1132" t="s">
        <v>1613</v>
      </c>
      <c r="L40" s="1154"/>
    </row>
    <row r="41" spans="1:12" s="1096" customFormat="1" ht="18.5">
      <c r="A41" s="1098">
        <f>IF(B41="","",SUBTOTAL(3,$B$11:B41))</f>
        <v>31</v>
      </c>
      <c r="B41" s="1099" t="s">
        <v>1315</v>
      </c>
      <c r="C41" s="1100">
        <v>496.69</v>
      </c>
      <c r="D41" s="1101" t="s">
        <v>1281</v>
      </c>
      <c r="E41" s="1101"/>
      <c r="F41" s="1101">
        <v>1</v>
      </c>
      <c r="G41" s="1101">
        <v>1</v>
      </c>
      <c r="H41" s="1101">
        <f t="shared" si="1"/>
        <v>0</v>
      </c>
      <c r="I41" s="1101">
        <v>1</v>
      </c>
      <c r="J41" s="1101">
        <f t="shared" si="0"/>
        <v>0</v>
      </c>
      <c r="K41" s="1183" t="s">
        <v>1613</v>
      </c>
      <c r="L41" s="1107" t="s">
        <v>255</v>
      </c>
    </row>
    <row r="42" spans="1:12" s="1096" customFormat="1" ht="18.5">
      <c r="A42" s="1098">
        <f>IF(B42="","",SUBTOTAL(3,$B$11:B42))</f>
        <v>32</v>
      </c>
      <c r="B42" s="1099" t="s">
        <v>1316</v>
      </c>
      <c r="C42" s="1100">
        <v>244.03</v>
      </c>
      <c r="D42" s="1101" t="s">
        <v>1281</v>
      </c>
      <c r="E42" s="1101" t="s">
        <v>1284</v>
      </c>
      <c r="F42" s="1101">
        <v>1</v>
      </c>
      <c r="G42" s="1101">
        <v>1</v>
      </c>
      <c r="H42" s="1101">
        <f t="shared" si="1"/>
        <v>0</v>
      </c>
      <c r="I42" s="1101">
        <v>1</v>
      </c>
      <c r="J42" s="1101">
        <f t="shared" si="0"/>
        <v>0</v>
      </c>
      <c r="K42" s="1183" t="s">
        <v>1613</v>
      </c>
      <c r="L42" s="1107" t="s">
        <v>255</v>
      </c>
    </row>
    <row r="43" spans="1:12" s="1096" customFormat="1" ht="18.5">
      <c r="A43" s="1091">
        <f>IF(B43="","",SUBTOTAL(3,$B$11:B43))</f>
        <v>33</v>
      </c>
      <c r="B43" s="1092" t="s">
        <v>1317</v>
      </c>
      <c r="C43" s="1093">
        <v>237.43</v>
      </c>
      <c r="D43" s="1094" t="s">
        <v>1281</v>
      </c>
      <c r="E43" s="1094"/>
      <c r="F43" s="1094">
        <v>1</v>
      </c>
      <c r="G43" s="1094">
        <v>1</v>
      </c>
      <c r="H43" s="1094">
        <f t="shared" si="1"/>
        <v>0</v>
      </c>
      <c r="I43" s="1094">
        <v>1</v>
      </c>
      <c r="J43" s="1094">
        <f t="shared" si="0"/>
        <v>0</v>
      </c>
      <c r="K43" s="1132" t="s">
        <v>1613</v>
      </c>
      <c r="L43" s="1154"/>
    </row>
    <row r="44" spans="1:12" s="1096" customFormat="1" ht="18.5">
      <c r="A44" s="1091">
        <f>IF(B44="","",SUBTOTAL(3,$B$11:B44))</f>
        <v>34</v>
      </c>
      <c r="B44" s="1092" t="s">
        <v>1318</v>
      </c>
      <c r="C44" s="1093">
        <v>203.48</v>
      </c>
      <c r="D44" s="1094" t="s">
        <v>1281</v>
      </c>
      <c r="E44" s="1094" t="s">
        <v>1286</v>
      </c>
      <c r="F44" s="1094">
        <v>1</v>
      </c>
      <c r="G44" s="1094">
        <v>1</v>
      </c>
      <c r="H44" s="1094">
        <f t="shared" si="1"/>
        <v>0</v>
      </c>
      <c r="I44" s="1094">
        <v>1</v>
      </c>
      <c r="J44" s="1094">
        <f t="shared" si="0"/>
        <v>0</v>
      </c>
      <c r="K44" s="1132" t="s">
        <v>1612</v>
      </c>
      <c r="L44" s="1154"/>
    </row>
    <row r="45" spans="1:12" s="1096" customFormat="1" ht="18.5">
      <c r="A45" s="1098">
        <f>IF(B45="","",SUBTOTAL(3,$B$11:B45))</f>
        <v>35</v>
      </c>
      <c r="B45" s="1099" t="s">
        <v>1319</v>
      </c>
      <c r="C45" s="1100">
        <v>2548.2750000000001</v>
      </c>
      <c r="D45" s="1101" t="s">
        <v>1282</v>
      </c>
      <c r="E45" s="1101"/>
      <c r="F45" s="1101">
        <v>7</v>
      </c>
      <c r="G45" s="1101">
        <v>7</v>
      </c>
      <c r="H45" s="1101">
        <f t="shared" si="1"/>
        <v>0</v>
      </c>
      <c r="I45" s="1101">
        <v>7</v>
      </c>
      <c r="J45" s="1101">
        <f t="shared" si="0"/>
        <v>0</v>
      </c>
      <c r="K45" s="1183" t="s">
        <v>1612</v>
      </c>
      <c r="L45" s="1107" t="s">
        <v>255</v>
      </c>
    </row>
    <row r="46" spans="1:12" s="1096" customFormat="1" ht="18.5">
      <c r="A46" s="1091">
        <f>IF(B46="","",SUBTOTAL(3,$B$11:B46))</f>
        <v>36</v>
      </c>
      <c r="B46" s="1092" t="s">
        <v>1320</v>
      </c>
      <c r="C46" s="1093">
        <v>211.21</v>
      </c>
      <c r="D46" s="1094" t="s">
        <v>1281</v>
      </c>
      <c r="E46" s="1094" t="s">
        <v>1287</v>
      </c>
      <c r="F46" s="1094">
        <v>1</v>
      </c>
      <c r="G46" s="1094">
        <v>1</v>
      </c>
      <c r="H46" s="1094">
        <f t="shared" si="1"/>
        <v>0</v>
      </c>
      <c r="I46" s="1094">
        <v>1</v>
      </c>
      <c r="J46" s="1094">
        <f t="shared" si="0"/>
        <v>0</v>
      </c>
      <c r="K46" s="1132" t="s">
        <v>1612</v>
      </c>
      <c r="L46" s="1095"/>
    </row>
    <row r="47" spans="1:12" s="1096" customFormat="1" ht="18.5">
      <c r="A47" s="1098">
        <f>IF(B47="","",SUBTOTAL(3,$B$11:B47))</f>
        <v>37</v>
      </c>
      <c r="B47" s="1099" t="s">
        <v>1321</v>
      </c>
      <c r="C47" s="1100">
        <v>2379.2039999999997</v>
      </c>
      <c r="D47" s="1101" t="s">
        <v>1282</v>
      </c>
      <c r="E47" s="1101"/>
      <c r="F47" s="1101">
        <v>6</v>
      </c>
      <c r="G47" s="1101">
        <v>6</v>
      </c>
      <c r="H47" s="1101">
        <f t="shared" si="1"/>
        <v>0</v>
      </c>
      <c r="I47" s="1101">
        <v>6</v>
      </c>
      <c r="J47" s="1101">
        <f t="shared" si="0"/>
        <v>0</v>
      </c>
      <c r="K47" s="1183" t="s">
        <v>1612</v>
      </c>
      <c r="L47" s="1249" t="s">
        <v>255</v>
      </c>
    </row>
    <row r="48" spans="1:12" s="1096" customFormat="1" ht="18.5">
      <c r="A48" s="1098">
        <f>IF(B48="","",SUBTOTAL(3,$B$11:B48))</f>
        <v>38</v>
      </c>
      <c r="B48" s="1099" t="s">
        <v>1322</v>
      </c>
      <c r="C48" s="1100">
        <v>2669.0079999999998</v>
      </c>
      <c r="D48" s="1101" t="s">
        <v>1282</v>
      </c>
      <c r="E48" s="1101"/>
      <c r="F48" s="1101">
        <v>7</v>
      </c>
      <c r="G48" s="1101">
        <v>7</v>
      </c>
      <c r="H48" s="1101">
        <f t="shared" si="1"/>
        <v>0</v>
      </c>
      <c r="I48" s="1101">
        <v>7</v>
      </c>
      <c r="J48" s="1101">
        <f t="shared" si="0"/>
        <v>0</v>
      </c>
      <c r="K48" s="1183" t="s">
        <v>1612</v>
      </c>
      <c r="L48" s="1249" t="s">
        <v>255</v>
      </c>
    </row>
    <row r="49" spans="1:12" s="1096" customFormat="1" ht="18.5">
      <c r="A49" s="1098">
        <f>IF(B49="","",SUBTOTAL(3,$B$11:B49))</f>
        <v>39</v>
      </c>
      <c r="B49" s="1099" t="s">
        <v>1323</v>
      </c>
      <c r="C49" s="1100">
        <v>4124.232</v>
      </c>
      <c r="D49" s="1101" t="s">
        <v>1282</v>
      </c>
      <c r="E49" s="1101"/>
      <c r="F49" s="1101">
        <v>11</v>
      </c>
      <c r="G49" s="1101">
        <v>11</v>
      </c>
      <c r="H49" s="1101">
        <f t="shared" si="1"/>
        <v>0</v>
      </c>
      <c r="I49" s="1101">
        <v>11</v>
      </c>
      <c r="J49" s="1101">
        <f t="shared" si="0"/>
        <v>0</v>
      </c>
      <c r="K49" s="1163" t="s">
        <v>1612</v>
      </c>
      <c r="L49" s="1107" t="s">
        <v>255</v>
      </c>
    </row>
    <row r="50" spans="1:12" s="1096" customFormat="1" ht="18.5">
      <c r="A50" s="1086">
        <f>IF(B50="","",SUBTOTAL(3,$B$11:B50))</f>
        <v>40</v>
      </c>
      <c r="B50" s="1106" t="s">
        <v>1324</v>
      </c>
      <c r="C50" s="1088">
        <v>4333.3689999999997</v>
      </c>
      <c r="D50" s="1089" t="s">
        <v>1282</v>
      </c>
      <c r="E50" s="1089"/>
      <c r="F50" s="1089">
        <v>11</v>
      </c>
      <c r="G50" s="1089">
        <v>11</v>
      </c>
      <c r="H50" s="1089">
        <f t="shared" si="1"/>
        <v>0</v>
      </c>
      <c r="I50" s="1089">
        <v>11</v>
      </c>
      <c r="J50" s="1089">
        <f t="shared" si="0"/>
        <v>0</v>
      </c>
      <c r="K50" s="1131" t="s">
        <v>1611</v>
      </c>
      <c r="L50" s="1107" t="s">
        <v>255</v>
      </c>
    </row>
    <row r="51" spans="1:12" s="1096" customFormat="1" ht="18.5">
      <c r="A51" s="1086">
        <f>IF(B51="","",SUBTOTAL(3,$B$11:B51))</f>
        <v>41</v>
      </c>
      <c r="B51" s="1106" t="s">
        <v>1325</v>
      </c>
      <c r="C51" s="1088">
        <v>3283.51</v>
      </c>
      <c r="D51" s="1089" t="s">
        <v>1282</v>
      </c>
      <c r="E51" s="1089"/>
      <c r="F51" s="1089">
        <v>8</v>
      </c>
      <c r="G51" s="1089">
        <v>8</v>
      </c>
      <c r="H51" s="1089">
        <f t="shared" si="1"/>
        <v>0</v>
      </c>
      <c r="I51" s="1089">
        <v>8</v>
      </c>
      <c r="J51" s="1089">
        <f t="shared" si="0"/>
        <v>0</v>
      </c>
      <c r="K51" s="1131" t="s">
        <v>1611</v>
      </c>
      <c r="L51" s="1107" t="s">
        <v>255</v>
      </c>
    </row>
    <row r="52" spans="1:12" s="1096" customFormat="1" ht="18.5">
      <c r="A52" s="1086">
        <f>IF(B52="","",SUBTOTAL(3,$B$11:B52))</f>
        <v>42</v>
      </c>
      <c r="B52" s="1106" t="s">
        <v>1326</v>
      </c>
      <c r="C52" s="1088">
        <v>840.43900000000008</v>
      </c>
      <c r="D52" s="1089" t="s">
        <v>1282</v>
      </c>
      <c r="E52" s="1089"/>
      <c r="F52" s="1089">
        <v>2</v>
      </c>
      <c r="G52" s="1089">
        <v>2</v>
      </c>
      <c r="H52" s="1089">
        <f t="shared" si="1"/>
        <v>0</v>
      </c>
      <c r="I52" s="1089">
        <v>2</v>
      </c>
      <c r="J52" s="1089">
        <f t="shared" si="0"/>
        <v>0</v>
      </c>
      <c r="K52" s="1131" t="s">
        <v>1611</v>
      </c>
      <c r="L52" s="1107" t="s">
        <v>255</v>
      </c>
    </row>
    <row r="53" spans="1:12" s="1096" customFormat="1" ht="18.5">
      <c r="A53" s="1086">
        <f>IF(B53="","",SUBTOTAL(3,$B$11:B53))</f>
        <v>43</v>
      </c>
      <c r="B53" s="1106" t="s">
        <v>1327</v>
      </c>
      <c r="C53" s="1088">
        <v>4049.7629999999999</v>
      </c>
      <c r="D53" s="1089" t="s">
        <v>1282</v>
      </c>
      <c r="E53" s="1089"/>
      <c r="F53" s="1089">
        <v>10</v>
      </c>
      <c r="G53" s="1089">
        <v>10</v>
      </c>
      <c r="H53" s="1089">
        <f t="shared" si="1"/>
        <v>0</v>
      </c>
      <c r="I53" s="1089">
        <v>10</v>
      </c>
      <c r="J53" s="1089">
        <f t="shared" si="0"/>
        <v>0</v>
      </c>
      <c r="K53" s="1131" t="s">
        <v>1611</v>
      </c>
      <c r="L53" s="1107" t="s">
        <v>255</v>
      </c>
    </row>
    <row r="54" spans="1:12" s="1096" customFormat="1" ht="18.5">
      <c r="A54" s="1098">
        <f>IF(B54="","",SUBTOTAL(3,$B$11:B54))</f>
        <v>44</v>
      </c>
      <c r="B54" s="1099" t="s">
        <v>1328</v>
      </c>
      <c r="C54" s="1100">
        <v>4898.5879999999997</v>
      </c>
      <c r="D54" s="1101" t="s">
        <v>1282</v>
      </c>
      <c r="E54" s="1101"/>
      <c r="F54" s="1101">
        <v>13</v>
      </c>
      <c r="G54" s="1101">
        <v>13</v>
      </c>
      <c r="H54" s="1101">
        <f t="shared" si="1"/>
        <v>0</v>
      </c>
      <c r="I54" s="1101">
        <v>13</v>
      </c>
      <c r="J54" s="1101">
        <f t="shared" si="0"/>
        <v>0</v>
      </c>
      <c r="K54" s="1131" t="s">
        <v>1619</v>
      </c>
      <c r="L54" s="1102" t="s">
        <v>255</v>
      </c>
    </row>
    <row r="55" spans="1:12" s="1096" customFormat="1" ht="18.5">
      <c r="A55" s="1172">
        <f>IF(B55="","",SUBTOTAL(3,$B$11:B55))</f>
        <v>45</v>
      </c>
      <c r="B55" s="1173" t="s">
        <v>1329</v>
      </c>
      <c r="C55" s="1161">
        <v>4916.2929999999997</v>
      </c>
      <c r="D55" s="1162" t="s">
        <v>1282</v>
      </c>
      <c r="E55" s="1162"/>
      <c r="F55" s="1162">
        <v>12</v>
      </c>
      <c r="G55" s="1162">
        <v>12</v>
      </c>
      <c r="H55" s="1162">
        <f t="shared" si="1"/>
        <v>0</v>
      </c>
      <c r="I55" s="1162">
        <v>12</v>
      </c>
      <c r="J55" s="1162">
        <f t="shared" si="0"/>
        <v>0</v>
      </c>
      <c r="K55" s="1163" t="s">
        <v>1613</v>
      </c>
      <c r="L55" s="1250" t="s">
        <v>311</v>
      </c>
    </row>
    <row r="56" spans="1:12" s="1096" customFormat="1" ht="18.5">
      <c r="A56" s="1091">
        <f>IF(B56="","",SUBTOTAL(3,$B$11:B56))</f>
        <v>46</v>
      </c>
      <c r="B56" s="1092" t="s">
        <v>1330</v>
      </c>
      <c r="C56" s="1093">
        <v>454</v>
      </c>
      <c r="D56" s="1094" t="s">
        <v>1281</v>
      </c>
      <c r="E56" s="1094"/>
      <c r="F56" s="1094">
        <v>1</v>
      </c>
      <c r="G56" s="1094">
        <v>1</v>
      </c>
      <c r="H56" s="1094">
        <f t="shared" si="1"/>
        <v>0</v>
      </c>
      <c r="I56" s="1094">
        <v>1</v>
      </c>
      <c r="J56" s="1094">
        <f t="shared" si="0"/>
        <v>0</v>
      </c>
      <c r="K56" s="1132" t="s">
        <v>1613</v>
      </c>
      <c r="L56" s="1095"/>
    </row>
    <row r="57" spans="1:12" s="1096" customFormat="1" ht="18.5">
      <c r="A57" s="1091">
        <f>IF(B57="","",SUBTOTAL(3,$B$11:B57))</f>
        <v>47</v>
      </c>
      <c r="B57" s="1092" t="s">
        <v>1750</v>
      </c>
      <c r="C57" s="1127">
        <v>826.7</v>
      </c>
      <c r="D57" s="1094" t="s">
        <v>1282</v>
      </c>
      <c r="E57" s="1094"/>
      <c r="F57" s="1094">
        <v>2</v>
      </c>
      <c r="G57" s="1094">
        <v>2</v>
      </c>
      <c r="H57" s="1094">
        <f t="shared" si="1"/>
        <v>0</v>
      </c>
      <c r="I57" s="1094">
        <v>1</v>
      </c>
      <c r="J57" s="1094">
        <f t="shared" si="0"/>
        <v>1</v>
      </c>
      <c r="K57" s="1132" t="s">
        <v>1613</v>
      </c>
      <c r="L57" s="1095"/>
    </row>
    <row r="58" spans="1:12" s="1096" customFormat="1" ht="18.5">
      <c r="A58" s="1091">
        <f>IF(B58="","",SUBTOTAL(3,$B$11:B58))</f>
        <v>48</v>
      </c>
      <c r="B58" s="1092" t="s">
        <v>1784</v>
      </c>
      <c r="C58" s="1093">
        <v>420.81</v>
      </c>
      <c r="D58" s="1094" t="s">
        <v>1281</v>
      </c>
      <c r="E58" s="1094"/>
      <c r="F58" s="1094">
        <v>1</v>
      </c>
      <c r="G58" s="1094">
        <v>1</v>
      </c>
      <c r="H58" s="1094">
        <f t="shared" si="1"/>
        <v>0</v>
      </c>
      <c r="I58" s="1094">
        <v>0</v>
      </c>
      <c r="J58" s="1094">
        <f t="shared" si="0"/>
        <v>1</v>
      </c>
      <c r="K58" s="1132" t="s">
        <v>1613</v>
      </c>
      <c r="L58" s="1095"/>
    </row>
    <row r="59" spans="1:12" s="1096" customFormat="1" ht="18.5">
      <c r="A59" s="1091">
        <f>IF(B59="","",SUBTOTAL(3,$B$11:B59))</f>
        <v>49</v>
      </c>
      <c r="B59" s="1092" t="s">
        <v>1785</v>
      </c>
      <c r="C59" s="1093">
        <v>469.33</v>
      </c>
      <c r="D59" s="1094" t="s">
        <v>1281</v>
      </c>
      <c r="E59" s="1094"/>
      <c r="F59" s="1094">
        <v>1</v>
      </c>
      <c r="G59" s="1094">
        <v>1</v>
      </c>
      <c r="H59" s="1094">
        <f t="shared" si="1"/>
        <v>0</v>
      </c>
      <c r="I59" s="1094">
        <v>0</v>
      </c>
      <c r="J59" s="1094">
        <f t="shared" si="0"/>
        <v>1</v>
      </c>
      <c r="K59" s="1132"/>
      <c r="L59" s="1095"/>
    </row>
    <row r="60" spans="1:12" s="1096" customFormat="1" ht="18.5">
      <c r="A60" s="1091">
        <f>IF(B60="","",SUBTOTAL(3,$B$11:B60))</f>
        <v>50</v>
      </c>
      <c r="B60" s="1092" t="s">
        <v>1786</v>
      </c>
      <c r="C60" s="1093">
        <v>2076.2799999999997</v>
      </c>
      <c r="D60" s="1094" t="s">
        <v>1282</v>
      </c>
      <c r="E60" s="1094"/>
      <c r="F60" s="1094">
        <v>5</v>
      </c>
      <c r="G60" s="1094">
        <v>5</v>
      </c>
      <c r="H60" s="1094">
        <f t="shared" si="1"/>
        <v>0</v>
      </c>
      <c r="I60" s="1094">
        <v>5</v>
      </c>
      <c r="J60" s="1094">
        <f t="shared" si="0"/>
        <v>0</v>
      </c>
      <c r="K60" s="1159" t="s">
        <v>1619</v>
      </c>
      <c r="L60" s="1248"/>
    </row>
    <row r="61" spans="1:12" s="1096" customFormat="1" ht="18.5">
      <c r="A61" s="1098">
        <f>IF(B61="","",SUBTOTAL(3,$B$11:B61))</f>
        <v>51</v>
      </c>
      <c r="B61" s="1099" t="s">
        <v>1333</v>
      </c>
      <c r="C61" s="1100">
        <v>2583.5889999999999</v>
      </c>
      <c r="D61" s="1101" t="s">
        <v>1282</v>
      </c>
      <c r="E61" s="1101"/>
      <c r="F61" s="1101">
        <v>7</v>
      </c>
      <c r="G61" s="1101">
        <v>7</v>
      </c>
      <c r="H61" s="1101">
        <f t="shared" si="1"/>
        <v>0</v>
      </c>
      <c r="I61" s="1101">
        <v>7</v>
      </c>
      <c r="J61" s="1101">
        <f t="shared" si="0"/>
        <v>0</v>
      </c>
      <c r="K61" s="1131"/>
      <c r="L61" s="1102" t="s">
        <v>255</v>
      </c>
    </row>
    <row r="62" spans="1:12" s="1096" customFormat="1" ht="18.5">
      <c r="A62" s="1098">
        <f>IF(B62="","",SUBTOTAL(3,$B$11:B62))</f>
        <v>52</v>
      </c>
      <c r="B62" s="1099" t="s">
        <v>1334</v>
      </c>
      <c r="C62" s="1100">
        <v>4163.6769999999997</v>
      </c>
      <c r="D62" s="1101" t="s">
        <v>1282</v>
      </c>
      <c r="E62" s="1101"/>
      <c r="F62" s="1101">
        <v>11</v>
      </c>
      <c r="G62" s="1101">
        <v>11</v>
      </c>
      <c r="H62" s="1101">
        <f t="shared" si="1"/>
        <v>0</v>
      </c>
      <c r="I62" s="1101">
        <v>11</v>
      </c>
      <c r="J62" s="1101">
        <f t="shared" si="0"/>
        <v>0</v>
      </c>
      <c r="K62" s="1131" t="s">
        <v>1619</v>
      </c>
      <c r="L62" s="1102" t="s">
        <v>255</v>
      </c>
    </row>
    <row r="63" spans="1:12" s="1096" customFormat="1" ht="18.5">
      <c r="A63" s="1098">
        <f>IF(B63="","",SUBTOTAL(3,$B$11:B63))</f>
        <v>53</v>
      </c>
      <c r="B63" s="1099" t="s">
        <v>1335</v>
      </c>
      <c r="C63" s="1100">
        <v>4716.8109999999997</v>
      </c>
      <c r="D63" s="1101" t="s">
        <v>1282</v>
      </c>
      <c r="E63" s="1101"/>
      <c r="F63" s="1101">
        <v>12</v>
      </c>
      <c r="G63" s="1101">
        <v>12</v>
      </c>
      <c r="H63" s="1101">
        <f t="shared" si="1"/>
        <v>0</v>
      </c>
      <c r="I63" s="1101">
        <v>12</v>
      </c>
      <c r="J63" s="1101">
        <f t="shared" si="0"/>
        <v>0</v>
      </c>
      <c r="K63" s="1131" t="s">
        <v>1619</v>
      </c>
      <c r="L63" s="1102" t="s">
        <v>255</v>
      </c>
    </row>
    <row r="64" spans="1:12" s="1096" customFormat="1" ht="18.5">
      <c r="A64" s="1155">
        <f>IF(B64="","",SUBTOTAL(3,$B$11:B64))</f>
        <v>54</v>
      </c>
      <c r="B64" s="1156" t="s">
        <v>1336</v>
      </c>
      <c r="C64" s="1157">
        <v>4665.9179999999997</v>
      </c>
      <c r="D64" s="1158" t="s">
        <v>1282</v>
      </c>
      <c r="E64" s="1158"/>
      <c r="F64" s="1158">
        <v>12</v>
      </c>
      <c r="G64" s="1158">
        <v>12</v>
      </c>
      <c r="H64" s="1158">
        <f t="shared" si="1"/>
        <v>0</v>
      </c>
      <c r="I64" s="1158">
        <v>12</v>
      </c>
      <c r="J64" s="1158">
        <f t="shared" si="0"/>
        <v>0</v>
      </c>
      <c r="K64" s="1159" t="s">
        <v>1613</v>
      </c>
      <c r="L64" s="1154"/>
    </row>
    <row r="65" spans="1:14" s="1096" customFormat="1" ht="18.5">
      <c r="A65" s="1155">
        <f>IF(B65="","",SUBTOTAL(3,$B$11:B65))</f>
        <v>55</v>
      </c>
      <c r="B65" s="1156" t="s">
        <v>1337</v>
      </c>
      <c r="C65" s="1157">
        <v>410.61</v>
      </c>
      <c r="D65" s="1158" t="s">
        <v>1281</v>
      </c>
      <c r="E65" s="1158"/>
      <c r="F65" s="1158">
        <v>1</v>
      </c>
      <c r="G65" s="1158">
        <v>1</v>
      </c>
      <c r="H65" s="1158">
        <f t="shared" si="1"/>
        <v>0</v>
      </c>
      <c r="I65" s="1158">
        <v>1</v>
      </c>
      <c r="J65" s="1158">
        <f t="shared" si="0"/>
        <v>0</v>
      </c>
      <c r="K65" s="1159" t="s">
        <v>1613</v>
      </c>
      <c r="L65" s="1154"/>
      <c r="M65" s="1103"/>
      <c r="N65" s="1103"/>
    </row>
    <row r="66" spans="1:14" s="1096" customFormat="1" ht="18.5">
      <c r="A66" s="1155">
        <f>IF(B66="","",SUBTOTAL(3,$B$11:B66))</f>
        <v>56</v>
      </c>
      <c r="B66" s="1156" t="s">
        <v>1338</v>
      </c>
      <c r="C66" s="1157">
        <v>823.78199999999993</v>
      </c>
      <c r="D66" s="1158" t="s">
        <v>1282</v>
      </c>
      <c r="E66" s="1158"/>
      <c r="F66" s="1158">
        <v>2</v>
      </c>
      <c r="G66" s="1158">
        <v>2</v>
      </c>
      <c r="H66" s="1158">
        <f t="shared" si="1"/>
        <v>0</v>
      </c>
      <c r="I66" s="1158">
        <v>2</v>
      </c>
      <c r="J66" s="1158">
        <f t="shared" si="0"/>
        <v>0</v>
      </c>
      <c r="K66" s="1159" t="s">
        <v>1613</v>
      </c>
      <c r="L66" s="1154"/>
      <c r="M66" s="1103"/>
      <c r="N66" s="1103"/>
    </row>
    <row r="67" spans="1:14" s="1096" customFormat="1" ht="18.5">
      <c r="A67" s="1155">
        <f>IF(B67="","",SUBTOTAL(3,$B$11:B67))</f>
        <v>57</v>
      </c>
      <c r="B67" s="1156" t="s">
        <v>1339</v>
      </c>
      <c r="C67" s="1157">
        <v>1258.998</v>
      </c>
      <c r="D67" s="1158" t="s">
        <v>1282</v>
      </c>
      <c r="E67" s="1158"/>
      <c r="F67" s="1158">
        <v>3</v>
      </c>
      <c r="G67" s="1158">
        <v>3</v>
      </c>
      <c r="H67" s="1158">
        <f t="shared" si="1"/>
        <v>0</v>
      </c>
      <c r="I67" s="1158">
        <v>3</v>
      </c>
      <c r="J67" s="1158">
        <f t="shared" si="0"/>
        <v>0</v>
      </c>
      <c r="K67" s="1159" t="s">
        <v>1613</v>
      </c>
      <c r="L67" s="1154"/>
      <c r="M67" s="1103"/>
      <c r="N67" s="1103"/>
    </row>
    <row r="68" spans="1:14" s="1096" customFormat="1" ht="18.5">
      <c r="A68" s="1091">
        <f>IF(B68="","",SUBTOTAL(3,$B$11:B68))</f>
        <v>58</v>
      </c>
      <c r="B68" s="1092" t="s">
        <v>1340</v>
      </c>
      <c r="C68" s="1093">
        <v>424.89100000000002</v>
      </c>
      <c r="D68" s="1094" t="s">
        <v>1281</v>
      </c>
      <c r="E68" s="1094"/>
      <c r="F68" s="1094">
        <v>1</v>
      </c>
      <c r="G68" s="1094">
        <v>1</v>
      </c>
      <c r="H68" s="1094">
        <f t="shared" si="1"/>
        <v>0</v>
      </c>
      <c r="I68" s="1094">
        <v>1</v>
      </c>
      <c r="J68" s="1094">
        <f t="shared" si="0"/>
        <v>0</v>
      </c>
      <c r="K68" s="1132" t="s">
        <v>1613</v>
      </c>
      <c r="L68" s="1095"/>
      <c r="M68" s="1103"/>
      <c r="N68" s="1103"/>
    </row>
    <row r="69" spans="1:14" s="1096" customFormat="1" ht="18.5">
      <c r="A69" s="1091">
        <f>IF(B69="","",SUBTOTAL(3,$B$11:B69))</f>
        <v>59</v>
      </c>
      <c r="B69" s="1092" t="s">
        <v>1451</v>
      </c>
      <c r="C69" s="1093">
        <v>1851.866</v>
      </c>
      <c r="D69" s="1094" t="s">
        <v>1282</v>
      </c>
      <c r="E69" s="1094"/>
      <c r="F69" s="1094">
        <v>5</v>
      </c>
      <c r="G69" s="1094">
        <v>5</v>
      </c>
      <c r="H69" s="1094">
        <f t="shared" si="1"/>
        <v>0</v>
      </c>
      <c r="I69" s="1094">
        <v>5</v>
      </c>
      <c r="J69" s="1094">
        <f t="shared" si="0"/>
        <v>0</v>
      </c>
      <c r="K69" s="1132" t="s">
        <v>1613</v>
      </c>
      <c r="L69" s="1095"/>
      <c r="M69" s="1103"/>
      <c r="N69" s="1103"/>
    </row>
    <row r="70" spans="1:14" s="1096" customFormat="1" ht="18.5">
      <c r="A70" s="1155">
        <f>IF(B70="","",SUBTOTAL(3,$B$11:B70))</f>
        <v>60</v>
      </c>
      <c r="B70" s="1156" t="s">
        <v>1452</v>
      </c>
      <c r="C70" s="1157">
        <v>1584.546</v>
      </c>
      <c r="D70" s="1158" t="s">
        <v>1282</v>
      </c>
      <c r="E70" s="1158"/>
      <c r="F70" s="1158">
        <v>4</v>
      </c>
      <c r="G70" s="1158">
        <v>4</v>
      </c>
      <c r="H70" s="1158">
        <f t="shared" si="1"/>
        <v>0</v>
      </c>
      <c r="I70" s="1158">
        <v>4</v>
      </c>
      <c r="J70" s="1158">
        <f t="shared" si="0"/>
        <v>0</v>
      </c>
      <c r="K70" s="1159" t="s">
        <v>1612</v>
      </c>
      <c r="L70" s="1154"/>
      <c r="M70" s="1103"/>
      <c r="N70" s="1103"/>
    </row>
    <row r="71" spans="1:14" s="1096" customFormat="1" ht="18.5">
      <c r="A71" s="1155">
        <f>IF(B71="","",SUBTOTAL(3,$B$11:B71))</f>
        <v>61</v>
      </c>
      <c r="B71" s="1156" t="s">
        <v>1397</v>
      </c>
      <c r="C71" s="1157">
        <v>2383.1549999999997</v>
      </c>
      <c r="D71" s="1158" t="s">
        <v>1282</v>
      </c>
      <c r="E71" s="1158"/>
      <c r="F71" s="1158">
        <v>6</v>
      </c>
      <c r="G71" s="1158">
        <v>6</v>
      </c>
      <c r="H71" s="1158">
        <f t="shared" si="1"/>
        <v>0</v>
      </c>
      <c r="I71" s="1158">
        <v>6</v>
      </c>
      <c r="J71" s="1158">
        <f t="shared" si="0"/>
        <v>0</v>
      </c>
      <c r="K71" s="1159" t="s">
        <v>1612</v>
      </c>
      <c r="L71" s="1154"/>
      <c r="M71" s="1103"/>
      <c r="N71" s="1103"/>
    </row>
    <row r="72" spans="1:14" s="1096" customFormat="1" ht="18.5">
      <c r="A72" s="1155">
        <f>IF(B72="","",SUBTOTAL(3,$B$11:B72))</f>
        <v>62</v>
      </c>
      <c r="B72" s="1156" t="s">
        <v>1399</v>
      </c>
      <c r="C72" s="1157">
        <v>208.53</v>
      </c>
      <c r="D72" s="1158" t="s">
        <v>1281</v>
      </c>
      <c r="E72" s="1158"/>
      <c r="F72" s="1158">
        <v>1</v>
      </c>
      <c r="G72" s="1158">
        <v>1</v>
      </c>
      <c r="H72" s="1158">
        <f t="shared" si="1"/>
        <v>0</v>
      </c>
      <c r="I72" s="1158">
        <v>1</v>
      </c>
      <c r="J72" s="1158">
        <f t="shared" si="0"/>
        <v>0</v>
      </c>
      <c r="K72" s="1159" t="s">
        <v>1612</v>
      </c>
      <c r="L72" s="1154"/>
      <c r="M72" s="1103"/>
      <c r="N72" s="1103"/>
    </row>
    <row r="73" spans="1:14" ht="21.5" thickBot="1">
      <c r="C73" s="1166">
        <f>SUM(C11:C72)/1000</f>
        <v>117.85605400000003</v>
      </c>
      <c r="F73" s="1165">
        <f>SUM(F11:F72)</f>
        <v>306</v>
      </c>
      <c r="G73" s="1165">
        <f>SUM(G11:G72)</f>
        <v>306</v>
      </c>
      <c r="H73" s="1165">
        <f>SUM(H11:H72)</f>
        <v>0</v>
      </c>
      <c r="I73" s="1165">
        <f>SUM(I11:I72)</f>
        <v>302</v>
      </c>
      <c r="J73" s="1165">
        <f>SUM(J11:J72)</f>
        <v>4</v>
      </c>
      <c r="K73" s="837"/>
    </row>
    <row r="74" spans="1:14" ht="38.25" customHeight="1" thickBot="1">
      <c r="A74" s="833" t="s">
        <v>1278</v>
      </c>
      <c r="B74" s="835" t="s">
        <v>1279</v>
      </c>
      <c r="C74" s="834" t="s">
        <v>1288</v>
      </c>
      <c r="D74" s="849"/>
      <c r="E74" s="846"/>
      <c r="F74" s="846"/>
      <c r="G74" s="837">
        <f>G73+7</f>
        <v>313</v>
      </c>
      <c r="H74" s="2"/>
    </row>
    <row r="75" spans="1:14" ht="14.5">
      <c r="A75" s="836">
        <v>1</v>
      </c>
      <c r="B75" s="838" t="s">
        <v>1282</v>
      </c>
      <c r="C75" s="839">
        <f>SUMIF(D11:D72,B75,C11:C72)/1000</f>
        <v>109.28515900000004</v>
      </c>
      <c r="D75" s="837"/>
      <c r="E75" s="847"/>
      <c r="F75" s="847"/>
      <c r="H75" s="2"/>
    </row>
    <row r="76" spans="1:14" ht="15" thickBot="1">
      <c r="A76" s="840">
        <v>2</v>
      </c>
      <c r="B76" s="841" t="s">
        <v>1281</v>
      </c>
      <c r="C76" s="842">
        <f>SUMIF(D11:D72,B76,C11:C72)/1000</f>
        <v>8.5708950000000002</v>
      </c>
      <c r="D76" s="837"/>
      <c r="E76" s="847"/>
      <c r="F76" s="847"/>
      <c r="H76" s="2"/>
    </row>
    <row r="77" spans="1:14" ht="15" thickBot="1">
      <c r="A77" s="1571" t="s">
        <v>1289</v>
      </c>
      <c r="B77" s="1572"/>
      <c r="C77" s="843">
        <f>C76+C75</f>
        <v>117.85605400000003</v>
      </c>
      <c r="D77" s="850"/>
      <c r="E77" s="848"/>
      <c r="F77" s="848"/>
      <c r="H77" s="2"/>
    </row>
    <row r="80" spans="1:14" ht="31">
      <c r="A80" s="854" t="s">
        <v>131</v>
      </c>
      <c r="B80" s="1263" t="s">
        <v>1419</v>
      </c>
      <c r="C80" s="955" t="s">
        <v>1353</v>
      </c>
      <c r="D80" s="1108" t="s">
        <v>1597</v>
      </c>
      <c r="E80" s="955" t="s">
        <v>1353</v>
      </c>
      <c r="F80" s="1264" t="s">
        <v>1761</v>
      </c>
      <c r="G80" s="955" t="s">
        <v>1762</v>
      </c>
    </row>
    <row r="81" spans="1:7" ht="15.5">
      <c r="A81" s="855" t="s">
        <v>1405</v>
      </c>
      <c r="B81" s="845">
        <v>37</v>
      </c>
      <c r="C81" s="29">
        <v>110.17009600000003</v>
      </c>
      <c r="D81" s="845">
        <v>21</v>
      </c>
      <c r="E81" s="1270">
        <v>70.083008000000007</v>
      </c>
      <c r="F81" s="71">
        <f>B81-D81</f>
        <v>16</v>
      </c>
      <c r="G81" s="592">
        <f>C81-E81</f>
        <v>40.087088000000023</v>
      </c>
    </row>
    <row r="82" spans="1:7" ht="15.5">
      <c r="A82" s="855" t="s">
        <v>1281</v>
      </c>
      <c r="B82" s="845">
        <v>25</v>
      </c>
      <c r="C82" s="29">
        <v>7.6807349999999994</v>
      </c>
      <c r="D82" s="845">
        <v>3</v>
      </c>
      <c r="E82" s="1270">
        <v>1.17632</v>
      </c>
      <c r="F82" s="71">
        <f>B82-D82</f>
        <v>22</v>
      </c>
      <c r="G82" s="592">
        <f>C82-E82</f>
        <v>6.5044149999999998</v>
      </c>
    </row>
    <row r="83" spans="1:7" ht="21">
      <c r="A83" s="1265" t="s">
        <v>1346</v>
      </c>
      <c r="B83" s="1266">
        <f t="shared" ref="B83:G83" si="2">SUBTOTAL(9,B81:B82)</f>
        <v>62</v>
      </c>
      <c r="C83" s="1267">
        <f t="shared" si="2"/>
        <v>117.85083100000003</v>
      </c>
      <c r="D83" s="1266">
        <f t="shared" si="2"/>
        <v>24</v>
      </c>
      <c r="E83" s="1268">
        <f t="shared" si="2"/>
        <v>71.259328000000011</v>
      </c>
      <c r="F83" s="1266">
        <f t="shared" si="2"/>
        <v>38</v>
      </c>
      <c r="G83" s="1269">
        <f t="shared" si="2"/>
        <v>46.591503000000024</v>
      </c>
    </row>
    <row r="298" spans="14:14">
      <c r="N298" s="832" t="s">
        <v>1596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5" priority="3"/>
    <cfRule type="duplicateValues" dxfId="204" priority="4"/>
  </conditionalFormatting>
  <conditionalFormatting sqref="B73:B1048576">
    <cfRule type="duplicateValues" dxfId="203" priority="2"/>
  </conditionalFormatting>
  <conditionalFormatting sqref="M12:M64">
    <cfRule type="duplicateValues" dxfId="202" priority="1"/>
  </conditionalFormatting>
  <pageMargins left="0.51181102362204722" right="0.27559055118110237" top="0.27559055118110237" bottom="0.78740157480314965" header="0.31496062992125984" footer="0.74803149606299213"/>
  <pageSetup scale="70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8" zoomScale="93" zoomScaleNormal="93" workbookViewId="0">
      <selection activeCell="J309" sqref="J309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78" t="s">
        <v>120</v>
      </c>
      <c r="B1" s="1578"/>
      <c r="C1" s="1578"/>
      <c r="D1" s="1578"/>
      <c r="E1" s="1578"/>
      <c r="F1" s="1578"/>
      <c r="G1" s="1578"/>
      <c r="H1" s="1578"/>
      <c r="I1" s="1578"/>
      <c r="J1" s="1578"/>
      <c r="K1" s="1578"/>
      <c r="L1" s="1578"/>
    </row>
    <row r="2" spans="1:12" ht="15.5">
      <c r="A2" s="1578" t="s">
        <v>1014</v>
      </c>
      <c r="B2" s="1578"/>
      <c r="C2" s="1578"/>
      <c r="D2" s="1578"/>
      <c r="E2" s="1578"/>
      <c r="F2" s="1578"/>
      <c r="G2" s="1578"/>
      <c r="H2" s="1578"/>
      <c r="I2" s="1578"/>
      <c r="J2" s="1578"/>
      <c r="K2" s="1578"/>
      <c r="L2" s="1578"/>
    </row>
    <row r="3" spans="1:12" ht="15.5">
      <c r="A3" s="1018" t="s">
        <v>1463</v>
      </c>
      <c r="B3" s="1018"/>
      <c r="C3" s="1018"/>
      <c r="D3" s="1018"/>
      <c r="E3" s="1018"/>
      <c r="F3" s="1018"/>
      <c r="G3" s="1018"/>
      <c r="H3" s="1056">
        <f>SUBTOTAL(9,H5:H311)</f>
        <v>14471.348765999979</v>
      </c>
      <c r="I3" s="1056">
        <f>SUBTOTAL(9,I5:I307)</f>
        <v>1319.5343287544911</v>
      </c>
      <c r="J3" s="1018"/>
      <c r="K3" s="1019" t="str">
        <f>TA413_PBNTL!M1</f>
        <v>26.06.2026</v>
      </c>
      <c r="L3" s="1019"/>
    </row>
    <row r="4" spans="1:12" ht="36" customHeight="1">
      <c r="A4" s="78" t="s">
        <v>41</v>
      </c>
      <c r="B4" s="78" t="s">
        <v>42</v>
      </c>
      <c r="C4" s="69" t="s">
        <v>43</v>
      </c>
      <c r="D4" s="69" t="s">
        <v>44</v>
      </c>
      <c r="E4" s="1246" t="s">
        <v>46</v>
      </c>
      <c r="F4" s="1135" t="s">
        <v>47</v>
      </c>
      <c r="G4" s="1136" t="s">
        <v>303</v>
      </c>
      <c r="H4" s="1136" t="s">
        <v>283</v>
      </c>
      <c r="I4" s="1247" t="s">
        <v>272</v>
      </c>
      <c r="J4" s="78" t="s">
        <v>48</v>
      </c>
      <c r="K4" s="78" t="s">
        <v>1</v>
      </c>
      <c r="L4" s="78" t="s">
        <v>1575</v>
      </c>
    </row>
    <row r="5" spans="1:12" s="616" customFormat="1" ht="15.5">
      <c r="A5" s="611">
        <v>1</v>
      </c>
      <c r="B5" s="611">
        <v>1</v>
      </c>
      <c r="C5" s="1005" t="s">
        <v>902</v>
      </c>
      <c r="D5" s="611" t="str">
        <f>IFERROR(VLOOKUP(C5,Foundation!$C$5:$D$554,2,0),"")</f>
        <v>DA+6</v>
      </c>
      <c r="E5" s="732">
        <v>45547</v>
      </c>
      <c r="F5" s="732">
        <v>45556</v>
      </c>
      <c r="G5" s="64" t="s">
        <v>1015</v>
      </c>
      <c r="H5" s="557">
        <f t="shared" ref="H5:H33" si="0">VLOOKUP(D5,$D$316:$I$345,6,0)</f>
        <v>43.804423999999997</v>
      </c>
      <c r="I5" s="1006">
        <f t="shared" ref="I5:I68" si="1">IFERROR(VLOOKUP(D5,$D$316:$K$345,8,0)/10^5,"")</f>
        <v>4.0811880970015997</v>
      </c>
      <c r="J5" s="614" t="s">
        <v>1017</v>
      </c>
      <c r="K5" s="1007" t="s">
        <v>255</v>
      </c>
      <c r="L5" s="1007" t="s">
        <v>1658</v>
      </c>
    </row>
    <row r="6" spans="1:12" s="616" customFormat="1" ht="15.5">
      <c r="A6" s="611">
        <f t="shared" ref="A6:A69" si="2">A5+1</f>
        <v>2</v>
      </c>
      <c r="B6" s="611">
        <v>2</v>
      </c>
      <c r="C6" s="1005" t="s">
        <v>436</v>
      </c>
      <c r="D6" s="611" t="str">
        <f>IFERROR(VLOOKUP(C6,Foundation!$C$5:$D$554,2,0),"")</f>
        <v>DA+0</v>
      </c>
      <c r="E6" s="732">
        <f>F5</f>
        <v>45556</v>
      </c>
      <c r="F6" s="732">
        <v>45562</v>
      </c>
      <c r="G6" s="64" t="s">
        <v>1015</v>
      </c>
      <c r="H6" s="557">
        <f t="shared" si="0"/>
        <v>36.159755999999994</v>
      </c>
      <c r="I6" s="1006">
        <f t="shared" si="1"/>
        <v>3.3689466109103994</v>
      </c>
      <c r="J6" s="614" t="s">
        <v>1017</v>
      </c>
      <c r="K6" s="1007" t="s">
        <v>255</v>
      </c>
      <c r="L6" s="1007" t="s">
        <v>1658</v>
      </c>
    </row>
    <row r="7" spans="1:12" s="616" customFormat="1" ht="15.5">
      <c r="A7" s="611">
        <f t="shared" si="2"/>
        <v>3</v>
      </c>
      <c r="B7" s="611">
        <v>1</v>
      </c>
      <c r="C7" s="1005" t="s">
        <v>434</v>
      </c>
      <c r="D7" s="611" t="str">
        <f>IFERROR(VLOOKUP(C7,Foundation!$C$5:$D$554,2,0),"")</f>
        <v>DA+0</v>
      </c>
      <c r="E7" s="732">
        <f>F6+1</f>
        <v>45563</v>
      </c>
      <c r="F7" s="732">
        <v>45568</v>
      </c>
      <c r="G7" s="64" t="s">
        <v>1015</v>
      </c>
      <c r="H7" s="557">
        <f t="shared" si="0"/>
        <v>36.159755999999994</v>
      </c>
      <c r="I7" s="1006">
        <f t="shared" si="1"/>
        <v>3.3689466109103994</v>
      </c>
      <c r="J7" s="614" t="s">
        <v>1017</v>
      </c>
      <c r="K7" s="1007" t="s">
        <v>255</v>
      </c>
      <c r="L7" s="1007" t="s">
        <v>1658</v>
      </c>
    </row>
    <row r="8" spans="1:12" s="616" customFormat="1" ht="15.5">
      <c r="A8" s="611">
        <f t="shared" si="2"/>
        <v>4</v>
      </c>
      <c r="B8" s="611">
        <v>2</v>
      </c>
      <c r="C8" s="1005" t="s">
        <v>435</v>
      </c>
      <c r="D8" s="611" t="str">
        <f>IFERROR(VLOOKUP(C8,Foundation!$C$5:$D$554,2,0),"")</f>
        <v>DA+3</v>
      </c>
      <c r="E8" s="732">
        <v>45568</v>
      </c>
      <c r="F8" s="732">
        <v>45573</v>
      </c>
      <c r="G8" s="64" t="s">
        <v>1015</v>
      </c>
      <c r="H8" s="557">
        <f t="shared" si="0"/>
        <v>37.931087999999995</v>
      </c>
      <c r="I8" s="1006">
        <f t="shared" si="1"/>
        <v>3.5339787792191997</v>
      </c>
      <c r="J8" s="614" t="s">
        <v>1017</v>
      </c>
      <c r="K8" s="1007" t="s">
        <v>255</v>
      </c>
      <c r="L8" s="1007" t="s">
        <v>1658</v>
      </c>
    </row>
    <row r="9" spans="1:12" s="616" customFormat="1" ht="15.5">
      <c r="A9" s="611">
        <f t="shared" si="2"/>
        <v>5</v>
      </c>
      <c r="B9" s="611">
        <v>3</v>
      </c>
      <c r="C9" s="1005" t="s">
        <v>906</v>
      </c>
      <c r="D9" s="611" t="str">
        <f>IFERROR(VLOOKUP(C9,Foundation!$C$5:$D$554,2,0),"")</f>
        <v>DA+9</v>
      </c>
      <c r="E9" s="732">
        <v>45568</v>
      </c>
      <c r="F9" s="732">
        <v>45579</v>
      </c>
      <c r="G9" s="64" t="s">
        <v>1015</v>
      </c>
      <c r="H9" s="557">
        <f t="shared" si="0"/>
        <v>45.697022000000004</v>
      </c>
      <c r="I9" s="1006">
        <f t="shared" si="1"/>
        <v>4.2575184245048003</v>
      </c>
      <c r="J9" s="614" t="s">
        <v>1017</v>
      </c>
      <c r="K9" s="1007" t="s">
        <v>255</v>
      </c>
      <c r="L9" s="1007" t="s">
        <v>1658</v>
      </c>
    </row>
    <row r="10" spans="1:12" s="616" customFormat="1" ht="15.5">
      <c r="A10" s="611">
        <f t="shared" si="2"/>
        <v>6</v>
      </c>
      <c r="B10" s="611">
        <v>4</v>
      </c>
      <c r="C10" s="1005" t="s">
        <v>26</v>
      </c>
      <c r="D10" s="611" t="str">
        <f>IFERROR(VLOOKUP(C10,Foundation!$C$5:$D$554,2,0),"")</f>
        <v>DA+0</v>
      </c>
      <c r="E10" s="732">
        <v>45574</v>
      </c>
      <c r="F10" s="732">
        <v>45582</v>
      </c>
      <c r="G10" s="64" t="s">
        <v>1015</v>
      </c>
      <c r="H10" s="557">
        <f t="shared" si="0"/>
        <v>36.159755999999994</v>
      </c>
      <c r="I10" s="1006">
        <f t="shared" si="1"/>
        <v>3.3689466109103994</v>
      </c>
      <c r="J10" s="614" t="s">
        <v>1084</v>
      </c>
      <c r="K10" s="1007" t="s">
        <v>255</v>
      </c>
      <c r="L10" s="1007" t="s">
        <v>1658</v>
      </c>
    </row>
    <row r="11" spans="1:12" s="616" customFormat="1" ht="15.5">
      <c r="A11" s="611">
        <f t="shared" si="2"/>
        <v>7</v>
      </c>
      <c r="B11" s="611">
        <v>5</v>
      </c>
      <c r="C11" s="1005" t="s">
        <v>901</v>
      </c>
      <c r="D11" s="611" t="str">
        <f>IFERROR(VLOOKUP(C11,Foundation!$C$5:$D$554,2,0),"")</f>
        <v>DA+6</v>
      </c>
      <c r="E11" s="732">
        <f>F9</f>
        <v>45579</v>
      </c>
      <c r="F11" s="732">
        <v>45590</v>
      </c>
      <c r="G11" s="64" t="s">
        <v>1015</v>
      </c>
      <c r="H11" s="557">
        <f t="shared" si="0"/>
        <v>43.804423999999997</v>
      </c>
      <c r="I11" s="1006">
        <f t="shared" si="1"/>
        <v>4.0811880970015997</v>
      </c>
      <c r="J11" s="614" t="s">
        <v>1017</v>
      </c>
      <c r="K11" s="1007" t="s">
        <v>255</v>
      </c>
      <c r="L11" s="1007" t="s">
        <v>1658</v>
      </c>
    </row>
    <row r="12" spans="1:12" s="311" customFormat="1" ht="15.5">
      <c r="A12" s="611">
        <f t="shared" si="2"/>
        <v>8</v>
      </c>
      <c r="B12" s="611">
        <v>1</v>
      </c>
      <c r="C12" s="1005" t="s">
        <v>584</v>
      </c>
      <c r="D12" s="65" t="str">
        <f>IFERROR(VLOOKUP(C12,Foundation!$C$5:$D$554,2,0),"")</f>
        <v>DA+0</v>
      </c>
      <c r="E12" s="732">
        <v>45608</v>
      </c>
      <c r="F12" s="732">
        <v>45620</v>
      </c>
      <c r="G12" s="64" t="s">
        <v>1160</v>
      </c>
      <c r="H12" s="557">
        <f t="shared" si="0"/>
        <v>36.159755999999994</v>
      </c>
      <c r="I12" s="1006">
        <f t="shared" si="1"/>
        <v>3.3689466109103994</v>
      </c>
      <c r="J12" s="64" t="s">
        <v>1143</v>
      </c>
      <c r="K12" s="1007" t="s">
        <v>255</v>
      </c>
      <c r="L12" s="1007" t="s">
        <v>1658</v>
      </c>
    </row>
    <row r="13" spans="1:12" s="616" customFormat="1" ht="15.5">
      <c r="A13" s="611">
        <f t="shared" si="2"/>
        <v>9</v>
      </c>
      <c r="B13" s="611">
        <v>2</v>
      </c>
      <c r="C13" s="1005" t="s">
        <v>588</v>
      </c>
      <c r="D13" s="65" t="str">
        <f>IFERROR(VLOOKUP(C13,Foundation!$C$5:$D$554,2,0),"")</f>
        <v>DA+3</v>
      </c>
      <c r="E13" s="732">
        <v>45610</v>
      </c>
      <c r="F13" s="732">
        <v>45621</v>
      </c>
      <c r="G13" s="64" t="s">
        <v>1161</v>
      </c>
      <c r="H13" s="557">
        <f t="shared" si="0"/>
        <v>37.931087999999995</v>
      </c>
      <c r="I13" s="1006">
        <f t="shared" si="1"/>
        <v>3.5339787792191997</v>
      </c>
      <c r="J13" s="614" t="s">
        <v>1144</v>
      </c>
      <c r="K13" s="1007" t="s">
        <v>255</v>
      </c>
      <c r="L13" s="1007" t="s">
        <v>1658</v>
      </c>
    </row>
    <row r="14" spans="1:12" s="616" customFormat="1" ht="15.5">
      <c r="A14" s="611">
        <f t="shared" si="2"/>
        <v>10</v>
      </c>
      <c r="B14" s="611">
        <v>1</v>
      </c>
      <c r="C14" s="1005" t="s">
        <v>580</v>
      </c>
      <c r="D14" s="65" t="str">
        <f>IFERROR(VLOOKUP(C14,Foundation!$C$5:$D$554,2,0),"")</f>
        <v>DA+6</v>
      </c>
      <c r="E14" s="732">
        <v>45621</v>
      </c>
      <c r="F14" s="732">
        <v>45630</v>
      </c>
      <c r="G14" s="64" t="s">
        <v>1160</v>
      </c>
      <c r="H14" s="557">
        <f t="shared" si="0"/>
        <v>43.804423999999997</v>
      </c>
      <c r="I14" s="1006">
        <f t="shared" si="1"/>
        <v>4.0811880970015997</v>
      </c>
      <c r="J14" s="614" t="s">
        <v>1143</v>
      </c>
      <c r="K14" s="1007" t="s">
        <v>255</v>
      </c>
      <c r="L14" s="1007" t="s">
        <v>1658</v>
      </c>
    </row>
    <row r="15" spans="1:12" s="616" customFormat="1" ht="15.5">
      <c r="A15" s="611">
        <f t="shared" si="2"/>
        <v>11</v>
      </c>
      <c r="B15" s="611">
        <v>2</v>
      </c>
      <c r="C15" s="1005" t="s">
        <v>583</v>
      </c>
      <c r="D15" s="65" t="str">
        <f>IFERROR(VLOOKUP(C15,Foundation!$C$5:$D$554,2,0),"")</f>
        <v>DA+0</v>
      </c>
      <c r="E15" s="732">
        <v>45622</v>
      </c>
      <c r="F15" s="732">
        <v>45638</v>
      </c>
      <c r="G15" s="64" t="s">
        <v>1161</v>
      </c>
      <c r="H15" s="557">
        <f t="shared" si="0"/>
        <v>36.159755999999994</v>
      </c>
      <c r="I15" s="1006">
        <f t="shared" si="1"/>
        <v>3.3689466109103994</v>
      </c>
      <c r="J15" s="614" t="s">
        <v>1143</v>
      </c>
      <c r="K15" s="1007" t="s">
        <v>255</v>
      </c>
      <c r="L15" s="1007" t="s">
        <v>1658</v>
      </c>
    </row>
    <row r="16" spans="1:12" s="616" customFormat="1" ht="15.5">
      <c r="A16" s="611">
        <f t="shared" si="2"/>
        <v>12</v>
      </c>
      <c r="B16" s="611">
        <v>3</v>
      </c>
      <c r="C16" s="1005" t="s">
        <v>579</v>
      </c>
      <c r="D16" s="65" t="str">
        <f>IFERROR(VLOOKUP(C16,Foundation!$C$5:$D$554,2,0),"")</f>
        <v>DA+1.5</v>
      </c>
      <c r="E16" s="732">
        <v>45631</v>
      </c>
      <c r="F16" s="732">
        <v>45642</v>
      </c>
      <c r="G16" s="64" t="s">
        <v>1160</v>
      </c>
      <c r="H16" s="557">
        <f t="shared" si="0"/>
        <v>37.138323999999997</v>
      </c>
      <c r="I16" s="1006">
        <f t="shared" si="1"/>
        <v>3.4601182257615997</v>
      </c>
      <c r="J16" s="614" t="s">
        <v>1017</v>
      </c>
      <c r="K16" s="1007" t="s">
        <v>255</v>
      </c>
      <c r="L16" s="1007" t="s">
        <v>1658</v>
      </c>
    </row>
    <row r="17" spans="1:12" s="616" customFormat="1" ht="15.5">
      <c r="A17" s="611">
        <f t="shared" si="2"/>
        <v>13</v>
      </c>
      <c r="B17" s="611">
        <v>4</v>
      </c>
      <c r="C17" s="1005" t="s">
        <v>392</v>
      </c>
      <c r="D17" s="65" t="str">
        <f>IFERROR(VLOOKUP(C17,Foundation!$C$5:$D$554,2,0),"")</f>
        <v>DA-3</v>
      </c>
      <c r="E17" s="732">
        <v>45633</v>
      </c>
      <c r="F17" s="732">
        <v>45642</v>
      </c>
      <c r="G17" s="64" t="s">
        <v>1171</v>
      </c>
      <c r="H17" s="557">
        <f t="shared" si="0"/>
        <v>34.789810000000003</v>
      </c>
      <c r="I17" s="1006">
        <f t="shared" si="1"/>
        <v>3.2413109340040003</v>
      </c>
      <c r="J17" s="614" t="s">
        <v>1150</v>
      </c>
      <c r="K17" s="1007" t="s">
        <v>255</v>
      </c>
      <c r="L17" s="1007" t="s">
        <v>1658</v>
      </c>
    </row>
    <row r="18" spans="1:12" s="616" customFormat="1" ht="15.5">
      <c r="A18" s="611">
        <f t="shared" si="2"/>
        <v>14</v>
      </c>
      <c r="B18" s="611">
        <v>5</v>
      </c>
      <c r="C18" s="1005" t="s">
        <v>585</v>
      </c>
      <c r="D18" s="65" t="str">
        <f>IFERROR(VLOOKUP(C18,Foundation!$C$5:$D$554,2,0),"")</f>
        <v>DA+1.5</v>
      </c>
      <c r="E18" s="732">
        <v>45639</v>
      </c>
      <c r="F18" s="732">
        <v>45647</v>
      </c>
      <c r="G18" s="64" t="s">
        <v>1161</v>
      </c>
      <c r="H18" s="557">
        <f t="shared" si="0"/>
        <v>37.138323999999997</v>
      </c>
      <c r="I18" s="1006">
        <f t="shared" si="1"/>
        <v>3.4601182257615997</v>
      </c>
      <c r="J18" s="614" t="s">
        <v>1174</v>
      </c>
      <c r="K18" s="1007" t="s">
        <v>255</v>
      </c>
      <c r="L18" s="1007" t="s">
        <v>1658</v>
      </c>
    </row>
    <row r="19" spans="1:12" s="616" customFormat="1" ht="15.5">
      <c r="A19" s="611">
        <f t="shared" si="2"/>
        <v>15</v>
      </c>
      <c r="B19" s="611">
        <v>6</v>
      </c>
      <c r="C19" s="1005" t="s">
        <v>596</v>
      </c>
      <c r="D19" s="65" t="str">
        <f>IFERROR(VLOOKUP(C19,Foundation!$C$5:$D$554,2,0),"")</f>
        <v>DA+3</v>
      </c>
      <c r="E19" s="732">
        <v>45639</v>
      </c>
      <c r="F19" s="732">
        <v>45648</v>
      </c>
      <c r="G19" s="64" t="s">
        <v>1171</v>
      </c>
      <c r="H19" s="557">
        <f t="shared" si="0"/>
        <v>37.931087999999995</v>
      </c>
      <c r="I19" s="1006">
        <f t="shared" si="1"/>
        <v>3.5339787792191997</v>
      </c>
      <c r="J19" s="614" t="s">
        <v>1084</v>
      </c>
      <c r="K19" s="1007" t="s">
        <v>255</v>
      </c>
      <c r="L19" s="1007" t="s">
        <v>1658</v>
      </c>
    </row>
    <row r="20" spans="1:12" s="616" customFormat="1" ht="15.5">
      <c r="A20" s="611">
        <f t="shared" si="2"/>
        <v>16</v>
      </c>
      <c r="B20" s="611">
        <v>7</v>
      </c>
      <c r="C20" s="1005" t="s">
        <v>498</v>
      </c>
      <c r="D20" s="65" t="str">
        <f>IFERROR(VLOOKUP(C20,Foundation!$C$5:$D$554,2,0),"")</f>
        <v>DA+3</v>
      </c>
      <c r="E20" s="732">
        <v>45643</v>
      </c>
      <c r="F20" s="732">
        <v>45650</v>
      </c>
      <c r="G20" s="64" t="s">
        <v>1171</v>
      </c>
      <c r="H20" s="557">
        <f t="shared" si="0"/>
        <v>37.931087999999995</v>
      </c>
      <c r="I20" s="1006">
        <f t="shared" si="1"/>
        <v>3.5339787792191997</v>
      </c>
      <c r="J20" s="614" t="s">
        <v>1150</v>
      </c>
      <c r="K20" s="1007" t="s">
        <v>255</v>
      </c>
      <c r="L20" s="1007" t="s">
        <v>1658</v>
      </c>
    </row>
    <row r="21" spans="1:12" s="616" customFormat="1" ht="15.5">
      <c r="A21" s="611">
        <f t="shared" si="2"/>
        <v>17</v>
      </c>
      <c r="B21" s="611">
        <v>8</v>
      </c>
      <c r="C21" s="1005" t="s">
        <v>1072</v>
      </c>
      <c r="D21" s="65" t="str">
        <f>IFERROR(VLOOKUP(C21,Foundation!$C$5:$D$554,2,0),"")</f>
        <v>DA+3</v>
      </c>
      <c r="E21" s="732">
        <v>45639</v>
      </c>
      <c r="F21" s="732">
        <v>45651</v>
      </c>
      <c r="G21" s="64" t="s">
        <v>1172</v>
      </c>
      <c r="H21" s="557">
        <f t="shared" si="0"/>
        <v>37.931087999999995</v>
      </c>
      <c r="I21" s="1006">
        <f t="shared" si="1"/>
        <v>3.5339787792191997</v>
      </c>
      <c r="J21" s="614" t="s">
        <v>1173</v>
      </c>
      <c r="K21" s="1007" t="s">
        <v>255</v>
      </c>
      <c r="L21" s="1007" t="s">
        <v>1658</v>
      </c>
    </row>
    <row r="22" spans="1:12" s="616" customFormat="1" ht="15.5">
      <c r="A22" s="611">
        <f t="shared" si="2"/>
        <v>18</v>
      </c>
      <c r="B22" s="611">
        <v>9</v>
      </c>
      <c r="C22" s="1005" t="s">
        <v>478</v>
      </c>
      <c r="D22" s="65" t="str">
        <f>IFERROR(VLOOKUP(C22,Foundation!$C$5:$D$554,2,0),"")</f>
        <v>DA-3</v>
      </c>
      <c r="E22" s="732">
        <v>45641</v>
      </c>
      <c r="F22" s="732">
        <v>45652</v>
      </c>
      <c r="G22" s="64" t="s">
        <v>1167</v>
      </c>
      <c r="H22" s="557">
        <f t="shared" si="0"/>
        <v>34.789810000000003</v>
      </c>
      <c r="I22" s="1006">
        <f t="shared" si="1"/>
        <v>3.2413109340040003</v>
      </c>
      <c r="J22" s="614" t="s">
        <v>1143</v>
      </c>
      <c r="K22" s="1007" t="s">
        <v>255</v>
      </c>
      <c r="L22" s="1007" t="s">
        <v>1658</v>
      </c>
    </row>
    <row r="23" spans="1:12" s="616" customFormat="1" ht="15.5">
      <c r="A23" s="611">
        <f t="shared" si="2"/>
        <v>19</v>
      </c>
      <c r="B23" s="611">
        <v>10</v>
      </c>
      <c r="C23" s="1005" t="s">
        <v>597</v>
      </c>
      <c r="D23" s="65" t="str">
        <f>IFERROR(VLOOKUP(C23,Foundation!$C$5:$D$554,2,0),"")</f>
        <v>DA+6</v>
      </c>
      <c r="E23" s="732">
        <v>45649</v>
      </c>
      <c r="F23" s="732">
        <v>45654</v>
      </c>
      <c r="G23" s="64" t="s">
        <v>1171</v>
      </c>
      <c r="H23" s="557">
        <f t="shared" si="0"/>
        <v>43.804423999999997</v>
      </c>
      <c r="I23" s="1006">
        <f t="shared" si="1"/>
        <v>4.0811880970015997</v>
      </c>
      <c r="J23" s="614" t="s">
        <v>1084</v>
      </c>
      <c r="K23" s="1007" t="s">
        <v>255</v>
      </c>
      <c r="L23" s="1007" t="s">
        <v>1658</v>
      </c>
    </row>
    <row r="24" spans="1:12" s="616" customFormat="1" ht="15.5">
      <c r="A24" s="611">
        <f t="shared" si="2"/>
        <v>20</v>
      </c>
      <c r="B24" s="611">
        <v>11</v>
      </c>
      <c r="C24" s="1005" t="s">
        <v>581</v>
      </c>
      <c r="D24" s="65" t="str">
        <f>IFERROR(VLOOKUP(C24,Foundation!$C$5:$D$554,2,0),"")</f>
        <v>DA+9</v>
      </c>
      <c r="E24" s="732">
        <v>45643</v>
      </c>
      <c r="F24" s="732">
        <v>45655</v>
      </c>
      <c r="G24" s="64" t="s">
        <v>1160</v>
      </c>
      <c r="H24" s="557">
        <f t="shared" si="0"/>
        <v>45.697022000000004</v>
      </c>
      <c r="I24" s="1006">
        <f t="shared" si="1"/>
        <v>4.2575184245048003</v>
      </c>
      <c r="J24" s="614" t="s">
        <v>1017</v>
      </c>
      <c r="K24" s="1007" t="s">
        <v>255</v>
      </c>
      <c r="L24" s="1007" t="s">
        <v>1658</v>
      </c>
    </row>
    <row r="25" spans="1:12" s="616" customFormat="1" ht="15.5">
      <c r="A25" s="611">
        <f t="shared" si="2"/>
        <v>21</v>
      </c>
      <c r="B25" s="611">
        <v>12</v>
      </c>
      <c r="C25" s="1005" t="s">
        <v>586</v>
      </c>
      <c r="D25" s="65" t="str">
        <f>IFERROR(VLOOKUP(C25,Foundation!$C$5:$D$554,2,0),"")</f>
        <v>DA-3</v>
      </c>
      <c r="E25" s="732">
        <v>45648</v>
      </c>
      <c r="F25" s="732">
        <v>45655</v>
      </c>
      <c r="G25" s="64" t="s">
        <v>1161</v>
      </c>
      <c r="H25" s="557">
        <f t="shared" si="0"/>
        <v>34.789810000000003</v>
      </c>
      <c r="I25" s="1006">
        <f t="shared" si="1"/>
        <v>3.2413109340040003</v>
      </c>
      <c r="J25" s="614" t="s">
        <v>1174</v>
      </c>
      <c r="K25" s="1007" t="s">
        <v>255</v>
      </c>
      <c r="L25" s="1007" t="s">
        <v>1658</v>
      </c>
    </row>
    <row r="26" spans="1:12" s="616" customFormat="1" ht="15.5">
      <c r="A26" s="611">
        <f t="shared" si="2"/>
        <v>22</v>
      </c>
      <c r="B26" s="611">
        <v>13</v>
      </c>
      <c r="C26" s="1005" t="s">
        <v>497</v>
      </c>
      <c r="D26" s="65" t="str">
        <f>IFERROR(VLOOKUP(C26,Foundation!$C$5:$D$554,2,0),"")</f>
        <v>DA+3</v>
      </c>
      <c r="E26" s="732">
        <v>45650</v>
      </c>
      <c r="F26" s="732">
        <v>45657</v>
      </c>
      <c r="G26" s="64" t="s">
        <v>1171</v>
      </c>
      <c r="H26" s="557">
        <f t="shared" si="0"/>
        <v>37.931087999999995</v>
      </c>
      <c r="I26" s="1006">
        <f t="shared" si="1"/>
        <v>3.5339787792191997</v>
      </c>
      <c r="J26" s="614" t="s">
        <v>1143</v>
      </c>
      <c r="K26" s="1007" t="s">
        <v>255</v>
      </c>
      <c r="L26" s="1007" t="s">
        <v>1658</v>
      </c>
    </row>
    <row r="27" spans="1:12" s="616" customFormat="1" ht="15.5">
      <c r="A27" s="611">
        <f t="shared" si="2"/>
        <v>23</v>
      </c>
      <c r="B27" s="611">
        <v>1</v>
      </c>
      <c r="C27" s="1005" t="s">
        <v>479</v>
      </c>
      <c r="D27" s="65" t="str">
        <f>IFERROR(VLOOKUP(C27,Foundation!$C$5:$D$554,2,0),"")</f>
        <v>DA+6</v>
      </c>
      <c r="E27" s="732">
        <v>45653</v>
      </c>
      <c r="F27" s="732">
        <v>45660</v>
      </c>
      <c r="G27" s="64" t="s">
        <v>1167</v>
      </c>
      <c r="H27" s="557">
        <f t="shared" si="0"/>
        <v>43.804423999999997</v>
      </c>
      <c r="I27" s="1006">
        <f t="shared" si="1"/>
        <v>4.0811880970015997</v>
      </c>
      <c r="J27" s="614" t="s">
        <v>1187</v>
      </c>
      <c r="K27" s="1007" t="s">
        <v>255</v>
      </c>
      <c r="L27" s="1007" t="s">
        <v>1658</v>
      </c>
    </row>
    <row r="28" spans="1:12" s="616" customFormat="1" ht="15.5">
      <c r="A28" s="611">
        <f t="shared" si="2"/>
        <v>24</v>
      </c>
      <c r="B28" s="611">
        <v>2</v>
      </c>
      <c r="C28" s="1005" t="s">
        <v>600</v>
      </c>
      <c r="D28" s="65" t="str">
        <f>IFERROR(VLOOKUP(C28,Foundation!$C$5:$D$554,2,0),"")</f>
        <v>DA+3</v>
      </c>
      <c r="E28" s="732">
        <v>45650</v>
      </c>
      <c r="F28" s="732">
        <v>45660</v>
      </c>
      <c r="G28" s="64" t="s">
        <v>1172</v>
      </c>
      <c r="H28" s="557">
        <f t="shared" si="0"/>
        <v>37.931087999999995</v>
      </c>
      <c r="I28" s="1006">
        <f t="shared" si="1"/>
        <v>3.5339787792191997</v>
      </c>
      <c r="J28" s="614" t="s">
        <v>1173</v>
      </c>
      <c r="K28" s="1007" t="s">
        <v>255</v>
      </c>
      <c r="L28" s="1007" t="s">
        <v>1658</v>
      </c>
    </row>
    <row r="29" spans="1:12" s="616" customFormat="1" ht="15.5">
      <c r="A29" s="611">
        <f t="shared" si="2"/>
        <v>25</v>
      </c>
      <c r="B29" s="611">
        <v>3</v>
      </c>
      <c r="C29" s="1005" t="s">
        <v>595</v>
      </c>
      <c r="D29" s="65" t="str">
        <f>IFERROR(VLOOKUP(C29,Foundation!$C$5:$D$554,2,0),"")</f>
        <v>DA+6</v>
      </c>
      <c r="E29" s="732">
        <v>45655</v>
      </c>
      <c r="F29" s="732">
        <v>45662</v>
      </c>
      <c r="G29" s="64" t="s">
        <v>1171</v>
      </c>
      <c r="H29" s="557">
        <f t="shared" si="0"/>
        <v>43.804423999999997</v>
      </c>
      <c r="I29" s="1006">
        <f t="shared" si="1"/>
        <v>4.0811880970015997</v>
      </c>
      <c r="J29" s="64" t="s">
        <v>1084</v>
      </c>
      <c r="K29" s="1007" t="s">
        <v>255</v>
      </c>
      <c r="L29" s="1007" t="s">
        <v>1658</v>
      </c>
    </row>
    <row r="30" spans="1:12" s="616" customFormat="1" ht="15.5">
      <c r="A30" s="611">
        <f t="shared" si="2"/>
        <v>26</v>
      </c>
      <c r="B30" s="611">
        <v>4</v>
      </c>
      <c r="C30" s="1005" t="s">
        <v>587</v>
      </c>
      <c r="D30" s="65" t="str">
        <f>IFERROR(VLOOKUP(C30,Foundation!$C$5:$D$554,2,0),"")</f>
        <v>DA+1.5</v>
      </c>
      <c r="E30" s="732">
        <v>45656</v>
      </c>
      <c r="F30" s="732">
        <v>45664</v>
      </c>
      <c r="G30" s="64" t="s">
        <v>1161</v>
      </c>
      <c r="H30" s="557">
        <f t="shared" si="0"/>
        <v>37.138323999999997</v>
      </c>
      <c r="I30" s="1006">
        <f t="shared" si="1"/>
        <v>3.4601182257615997</v>
      </c>
      <c r="J30" s="614" t="s">
        <v>1174</v>
      </c>
      <c r="K30" s="1007" t="s">
        <v>255</v>
      </c>
      <c r="L30" s="1007" t="s">
        <v>1658</v>
      </c>
    </row>
    <row r="31" spans="1:12" s="616" customFormat="1" ht="15.5">
      <c r="A31" s="611">
        <f t="shared" si="2"/>
        <v>27</v>
      </c>
      <c r="B31" s="611">
        <v>5</v>
      </c>
      <c r="C31" s="1005" t="s">
        <v>496</v>
      </c>
      <c r="D31" s="65" t="str">
        <f>IFERROR(VLOOKUP(C31,Foundation!$C$5:$D$554,2,0),"")</f>
        <v>DA+3</v>
      </c>
      <c r="E31" s="732">
        <v>45658</v>
      </c>
      <c r="F31" s="732">
        <v>45665</v>
      </c>
      <c r="G31" s="64" t="s">
        <v>1171</v>
      </c>
      <c r="H31" s="557">
        <f t="shared" si="0"/>
        <v>37.931087999999995</v>
      </c>
      <c r="I31" s="1006">
        <f t="shared" si="1"/>
        <v>3.5339787792191997</v>
      </c>
      <c r="J31" s="64" t="s">
        <v>1143</v>
      </c>
      <c r="K31" s="1007" t="s">
        <v>255</v>
      </c>
      <c r="L31" s="1007" t="s">
        <v>1658</v>
      </c>
    </row>
    <row r="32" spans="1:12" s="616" customFormat="1" ht="15.5">
      <c r="A32" s="611">
        <f t="shared" si="2"/>
        <v>28</v>
      </c>
      <c r="B32" s="611">
        <v>6</v>
      </c>
      <c r="C32" s="1005" t="s">
        <v>582</v>
      </c>
      <c r="D32" s="65" t="str">
        <f>IFERROR(VLOOKUP(C32,Foundation!$C$5:$D$554,2,0),"")</f>
        <v>DA+3</v>
      </c>
      <c r="E32" s="732">
        <v>45656</v>
      </c>
      <c r="F32" s="732">
        <v>45666</v>
      </c>
      <c r="G32" s="64" t="s">
        <v>1160</v>
      </c>
      <c r="H32" s="557">
        <f t="shared" si="0"/>
        <v>37.931087999999995</v>
      </c>
      <c r="I32" s="1006">
        <f t="shared" si="1"/>
        <v>3.5339787792191997</v>
      </c>
      <c r="J32" s="614" t="s">
        <v>1017</v>
      </c>
      <c r="K32" s="1007" t="s">
        <v>255</v>
      </c>
      <c r="L32" s="1007" t="s">
        <v>1658</v>
      </c>
    </row>
    <row r="33" spans="1:15" s="616" customFormat="1" ht="15.5">
      <c r="A33" s="611">
        <f t="shared" si="2"/>
        <v>29</v>
      </c>
      <c r="B33" s="611">
        <v>7</v>
      </c>
      <c r="C33" s="1005" t="s">
        <v>396</v>
      </c>
      <c r="D33" s="65" t="str">
        <f>IFERROR(VLOOKUP(C33,Foundation!$C$5:$D$554,2,0),"")</f>
        <v>DA+9</v>
      </c>
      <c r="E33" s="732">
        <v>45661</v>
      </c>
      <c r="F33" s="732">
        <v>45666</v>
      </c>
      <c r="G33" s="64" t="s">
        <v>1167</v>
      </c>
      <c r="H33" s="557">
        <f t="shared" si="0"/>
        <v>45.697022000000004</v>
      </c>
      <c r="I33" s="1006">
        <f t="shared" si="1"/>
        <v>4.2575184245048003</v>
      </c>
      <c r="J33" s="614" t="s">
        <v>1187</v>
      </c>
      <c r="K33" s="1007" t="s">
        <v>255</v>
      </c>
      <c r="L33" s="1007" t="s">
        <v>1658</v>
      </c>
    </row>
    <row r="34" spans="1:15" s="616" customFormat="1" ht="15.5">
      <c r="A34" s="1306">
        <f t="shared" si="2"/>
        <v>30</v>
      </c>
      <c r="B34" s="1306">
        <v>8</v>
      </c>
      <c r="C34" s="1307" t="s">
        <v>1073</v>
      </c>
      <c r="D34" s="1306" t="str">
        <f>IFERROR(VLOOKUP(C34,Foundation!$C$5:$D$554,2,0),"")</f>
        <v>DA+9</v>
      </c>
      <c r="E34" s="1308">
        <v>45661</v>
      </c>
      <c r="F34" s="1308">
        <v>45668</v>
      </c>
      <c r="G34" s="1309" t="s">
        <v>1172</v>
      </c>
      <c r="H34" s="1310">
        <v>45.697000000000003</v>
      </c>
      <c r="I34" s="1311">
        <f t="shared" si="1"/>
        <v>4.2575184245048003</v>
      </c>
      <c r="J34" s="1309" t="s">
        <v>1173</v>
      </c>
      <c r="K34" s="1312" t="s">
        <v>255</v>
      </c>
      <c r="L34" s="1312" t="s">
        <v>1658</v>
      </c>
      <c r="O34" s="616" t="s">
        <v>1780</v>
      </c>
    </row>
    <row r="35" spans="1:15" s="616" customFormat="1" ht="15.5">
      <c r="A35" s="611">
        <f t="shared" si="2"/>
        <v>31</v>
      </c>
      <c r="B35" s="611">
        <v>9</v>
      </c>
      <c r="C35" s="1005" t="s">
        <v>594</v>
      </c>
      <c r="D35" s="65" t="str">
        <f>IFERROR(VLOOKUP(C35,Foundation!$C$5:$D$554,2,0),"")</f>
        <v>DA+9</v>
      </c>
      <c r="E35" s="732">
        <v>45663</v>
      </c>
      <c r="F35" s="732">
        <v>45670</v>
      </c>
      <c r="G35" s="64" t="s">
        <v>1171</v>
      </c>
      <c r="H35" s="557">
        <f t="shared" ref="H35:H98" si="3">VLOOKUP(D35,$D$316:$I$345,6,0)</f>
        <v>45.697022000000004</v>
      </c>
      <c r="I35" s="1006">
        <f t="shared" si="1"/>
        <v>4.2575184245048003</v>
      </c>
      <c r="J35" s="64" t="s">
        <v>1084</v>
      </c>
      <c r="K35" s="1007" t="s">
        <v>255</v>
      </c>
      <c r="L35" s="1007" t="s">
        <v>1658</v>
      </c>
    </row>
    <row r="36" spans="1:15" s="616" customFormat="1" ht="15.5">
      <c r="A36" s="611">
        <f t="shared" si="2"/>
        <v>32</v>
      </c>
      <c r="B36" s="611">
        <v>10</v>
      </c>
      <c r="C36" s="1005" t="s">
        <v>397</v>
      </c>
      <c r="D36" s="65" t="str">
        <f>IFERROR(VLOOKUP(C36,Foundation!$C$5:$D$554,2,0),"")</f>
        <v>DA+3</v>
      </c>
      <c r="E36" s="732">
        <v>45667</v>
      </c>
      <c r="F36" s="732">
        <v>45672</v>
      </c>
      <c r="G36" s="64" t="s">
        <v>1167</v>
      </c>
      <c r="H36" s="557">
        <f t="shared" si="3"/>
        <v>37.931087999999995</v>
      </c>
      <c r="I36" s="1006">
        <f t="shared" si="1"/>
        <v>3.5339787792191997</v>
      </c>
      <c r="J36" s="64" t="s">
        <v>1187</v>
      </c>
      <c r="K36" s="1007" t="s">
        <v>255</v>
      </c>
      <c r="L36" s="1007" t="s">
        <v>1658</v>
      </c>
    </row>
    <row r="37" spans="1:15" s="616" customFormat="1" ht="15.5">
      <c r="A37" s="611">
        <f t="shared" si="2"/>
        <v>33</v>
      </c>
      <c r="B37" s="611">
        <v>11</v>
      </c>
      <c r="C37" s="1005" t="s">
        <v>495</v>
      </c>
      <c r="D37" s="65" t="str">
        <f>IFERROR(VLOOKUP(C37,Foundation!$C$5:$D$554,2,0),"")</f>
        <v>DA+3</v>
      </c>
      <c r="E37" s="732">
        <v>45665</v>
      </c>
      <c r="F37" s="732">
        <v>45673</v>
      </c>
      <c r="G37" s="64" t="s">
        <v>1171</v>
      </c>
      <c r="H37" s="557">
        <f t="shared" si="3"/>
        <v>37.931087999999995</v>
      </c>
      <c r="I37" s="1006">
        <f t="shared" si="1"/>
        <v>3.5339787792191997</v>
      </c>
      <c r="J37" s="64" t="s">
        <v>1143</v>
      </c>
      <c r="K37" s="1007" t="s">
        <v>255</v>
      </c>
      <c r="L37" s="1007" t="s">
        <v>1658</v>
      </c>
    </row>
    <row r="38" spans="1:15" s="616" customFormat="1" ht="15.5">
      <c r="A38" s="611">
        <f t="shared" si="2"/>
        <v>34</v>
      </c>
      <c r="B38" s="611">
        <v>12</v>
      </c>
      <c r="C38" s="1005" t="s">
        <v>590</v>
      </c>
      <c r="D38" s="65" t="str">
        <f>IFERROR(VLOOKUP(C38,Foundation!$C$5:$D$554,2,0),"")</f>
        <v>DA+6</v>
      </c>
      <c r="E38" s="732">
        <v>45664</v>
      </c>
      <c r="F38" s="732">
        <v>45676</v>
      </c>
      <c r="G38" s="64" t="s">
        <v>1161</v>
      </c>
      <c r="H38" s="557">
        <f t="shared" si="3"/>
        <v>43.804423999999997</v>
      </c>
      <c r="I38" s="1006">
        <f t="shared" si="1"/>
        <v>4.0811880970015997</v>
      </c>
      <c r="J38" s="64" t="s">
        <v>1174</v>
      </c>
      <c r="K38" s="1007" t="s">
        <v>255</v>
      </c>
      <c r="L38" s="1007" t="s">
        <v>1658</v>
      </c>
    </row>
    <row r="39" spans="1:15" s="616" customFormat="1" ht="15.5">
      <c r="A39" s="611">
        <f t="shared" si="2"/>
        <v>35</v>
      </c>
      <c r="B39" s="611">
        <v>13</v>
      </c>
      <c r="C39" s="1005" t="s">
        <v>593</v>
      </c>
      <c r="D39" s="65" t="str">
        <f>IFERROR(VLOOKUP(C39,Foundation!$C$5:$D$554,2,0),"")</f>
        <v>DA+9</v>
      </c>
      <c r="E39" s="732">
        <v>45671</v>
      </c>
      <c r="F39" s="732">
        <v>45676</v>
      </c>
      <c r="G39" s="64" t="s">
        <v>1171</v>
      </c>
      <c r="H39" s="557">
        <f t="shared" si="3"/>
        <v>45.697022000000004</v>
      </c>
      <c r="I39" s="1006">
        <f t="shared" si="1"/>
        <v>4.2575184245048003</v>
      </c>
      <c r="J39" s="64" t="s">
        <v>1084</v>
      </c>
      <c r="K39" s="1007" t="s">
        <v>255</v>
      </c>
      <c r="L39" s="1007" t="s">
        <v>1658</v>
      </c>
    </row>
    <row r="40" spans="1:15" s="616" customFormat="1" ht="15.5">
      <c r="A40" s="611">
        <f t="shared" si="2"/>
        <v>36</v>
      </c>
      <c r="B40" s="611">
        <v>14</v>
      </c>
      <c r="C40" s="1005" t="s">
        <v>398</v>
      </c>
      <c r="D40" s="65" t="str">
        <f>IFERROR(VLOOKUP(C40,Foundation!$C$5:$D$554,2,0),"")</f>
        <v>DA+3</v>
      </c>
      <c r="E40" s="732">
        <v>45673</v>
      </c>
      <c r="F40" s="732">
        <v>45677</v>
      </c>
      <c r="G40" s="64" t="s">
        <v>1167</v>
      </c>
      <c r="H40" s="557">
        <f t="shared" si="3"/>
        <v>37.931087999999995</v>
      </c>
      <c r="I40" s="1006">
        <f t="shared" si="1"/>
        <v>3.5339787792191997</v>
      </c>
      <c r="J40" s="64" t="s">
        <v>1187</v>
      </c>
      <c r="K40" s="1007" t="s">
        <v>255</v>
      </c>
      <c r="L40" s="1007" t="s">
        <v>1658</v>
      </c>
    </row>
    <row r="41" spans="1:15" s="616" customFormat="1" ht="15.5">
      <c r="A41" s="611">
        <f t="shared" si="2"/>
        <v>37</v>
      </c>
      <c r="B41" s="611">
        <v>15</v>
      </c>
      <c r="C41" s="1005" t="s">
        <v>578</v>
      </c>
      <c r="D41" s="65" t="str">
        <f>IFERROR(VLOOKUP(C41,Foundation!$C$5:$D$554,2,0),"")</f>
        <v>DA+9</v>
      </c>
      <c r="E41" s="732">
        <v>45667</v>
      </c>
      <c r="F41" s="732">
        <v>45678</v>
      </c>
      <c r="G41" s="64" t="s">
        <v>1160</v>
      </c>
      <c r="H41" s="557">
        <f t="shared" si="3"/>
        <v>45.697022000000004</v>
      </c>
      <c r="I41" s="1006">
        <f t="shared" si="1"/>
        <v>4.2575184245048003</v>
      </c>
      <c r="J41" s="614" t="s">
        <v>1017</v>
      </c>
      <c r="K41" s="1007" t="s">
        <v>255</v>
      </c>
      <c r="L41" s="1007" t="s">
        <v>1658</v>
      </c>
    </row>
    <row r="42" spans="1:15" s="616" customFormat="1" ht="15.5">
      <c r="A42" s="611">
        <f t="shared" si="2"/>
        <v>38</v>
      </c>
      <c r="B42" s="611">
        <v>16</v>
      </c>
      <c r="C42" s="1005" t="s">
        <v>606</v>
      </c>
      <c r="D42" s="65" t="str">
        <f>IFERROR(VLOOKUP(C42,Foundation!$C$5:$D$554,2,0),"")</f>
        <v>DA+9</v>
      </c>
      <c r="E42" s="732">
        <v>45668</v>
      </c>
      <c r="F42" s="732">
        <v>45679</v>
      </c>
      <c r="G42" s="64" t="s">
        <v>1172</v>
      </c>
      <c r="H42" s="557">
        <f t="shared" si="3"/>
        <v>45.697022000000004</v>
      </c>
      <c r="I42" s="1006">
        <f t="shared" si="1"/>
        <v>4.2575184245048003</v>
      </c>
      <c r="J42" s="64" t="s">
        <v>1173</v>
      </c>
      <c r="K42" s="1007" t="s">
        <v>255</v>
      </c>
      <c r="L42" s="1007" t="s">
        <v>1658</v>
      </c>
    </row>
    <row r="43" spans="1:15" s="616" customFormat="1" ht="15.5">
      <c r="A43" s="611">
        <f t="shared" si="2"/>
        <v>39</v>
      </c>
      <c r="B43" s="611">
        <v>17</v>
      </c>
      <c r="C43" s="1005" t="s">
        <v>494</v>
      </c>
      <c r="D43" s="65" t="str">
        <f>IFERROR(VLOOKUP(C43,Foundation!$C$5:$D$554,2,0),"")</f>
        <v>DA+1.5</v>
      </c>
      <c r="E43" s="732">
        <v>45674</v>
      </c>
      <c r="F43" s="732">
        <v>45679</v>
      </c>
      <c r="G43" s="64" t="s">
        <v>1171</v>
      </c>
      <c r="H43" s="557">
        <f t="shared" si="3"/>
        <v>37.138323999999997</v>
      </c>
      <c r="I43" s="1006">
        <f t="shared" si="1"/>
        <v>3.4601182257615997</v>
      </c>
      <c r="J43" s="64" t="s">
        <v>1143</v>
      </c>
      <c r="K43" s="1007" t="s">
        <v>255</v>
      </c>
      <c r="L43" s="1007" t="s">
        <v>1658</v>
      </c>
    </row>
    <row r="44" spans="1:15" s="311" customFormat="1" ht="15.5">
      <c r="A44" s="611">
        <f t="shared" si="2"/>
        <v>40</v>
      </c>
      <c r="B44" s="65">
        <v>18</v>
      </c>
      <c r="C44" s="1005" t="s">
        <v>598</v>
      </c>
      <c r="D44" s="65" t="str">
        <f>IFERROR(VLOOKUP(C44,Foundation!$C$5:$D$554,2,0),"")</f>
        <v>DA+1.5</v>
      </c>
      <c r="E44" s="732">
        <v>45674</v>
      </c>
      <c r="F44" s="732">
        <v>45681</v>
      </c>
      <c r="G44" s="64" t="s">
        <v>1171</v>
      </c>
      <c r="H44" s="557">
        <f t="shared" si="3"/>
        <v>37.138323999999997</v>
      </c>
      <c r="I44" s="1006">
        <f t="shared" si="1"/>
        <v>3.4601182257615997</v>
      </c>
      <c r="J44" s="64" t="s">
        <v>1084</v>
      </c>
      <c r="K44" s="1007" t="s">
        <v>255</v>
      </c>
      <c r="L44" s="1007" t="s">
        <v>1658</v>
      </c>
    </row>
    <row r="45" spans="1:15" s="311" customFormat="1" ht="15.5">
      <c r="A45" s="611">
        <f t="shared" si="2"/>
        <v>41</v>
      </c>
      <c r="B45" s="65">
        <v>19</v>
      </c>
      <c r="C45" s="1005" t="s">
        <v>399</v>
      </c>
      <c r="D45" s="65" t="str">
        <f>IFERROR(VLOOKUP(C45,Foundation!$C$5:$D$554,2,0),"")</f>
        <v>DA+9</v>
      </c>
      <c r="E45" s="732">
        <f>F40</f>
        <v>45677</v>
      </c>
      <c r="F45" s="732">
        <v>45682</v>
      </c>
      <c r="G45" s="64" t="s">
        <v>1167</v>
      </c>
      <c r="H45" s="557">
        <f t="shared" si="3"/>
        <v>45.697022000000004</v>
      </c>
      <c r="I45" s="1006">
        <f t="shared" si="1"/>
        <v>4.2575184245048003</v>
      </c>
      <c r="J45" s="64" t="s">
        <v>1187</v>
      </c>
      <c r="K45" s="1007" t="s">
        <v>255</v>
      </c>
      <c r="L45" s="1007" t="s">
        <v>1658</v>
      </c>
    </row>
    <row r="46" spans="1:15" s="616" customFormat="1" ht="15.5">
      <c r="A46" s="611">
        <f t="shared" si="2"/>
        <v>42</v>
      </c>
      <c r="B46" s="611">
        <v>20</v>
      </c>
      <c r="C46" s="1005" t="s">
        <v>577</v>
      </c>
      <c r="D46" s="65" t="str">
        <f>IFERROR(VLOOKUP(C46,Foundation!$C$5:$D$554,2,0),"")</f>
        <v>DA+9</v>
      </c>
      <c r="E46" s="732">
        <f>F41</f>
        <v>45678</v>
      </c>
      <c r="F46" s="732">
        <v>45686</v>
      </c>
      <c r="G46" s="64" t="s">
        <v>1160</v>
      </c>
      <c r="H46" s="557">
        <f t="shared" si="3"/>
        <v>45.697022000000004</v>
      </c>
      <c r="I46" s="1006">
        <f t="shared" si="1"/>
        <v>4.2575184245048003</v>
      </c>
      <c r="J46" s="614" t="s">
        <v>1017</v>
      </c>
      <c r="K46" s="1007" t="s">
        <v>255</v>
      </c>
      <c r="L46" s="1007" t="s">
        <v>1658</v>
      </c>
    </row>
    <row r="47" spans="1:15" s="616" customFormat="1" ht="15.5">
      <c r="A47" s="611">
        <f t="shared" si="2"/>
        <v>43</v>
      </c>
      <c r="B47" s="611">
        <v>21</v>
      </c>
      <c r="C47" s="1005" t="s">
        <v>611</v>
      </c>
      <c r="D47" s="65" t="str">
        <f>IFERROR(VLOOKUP(C47,Foundation!$C$5:$D$554,2,0),"")</f>
        <v>DA+3</v>
      </c>
      <c r="E47" s="732">
        <v>45681</v>
      </c>
      <c r="F47" s="732">
        <v>45686</v>
      </c>
      <c r="G47" s="64" t="s">
        <v>1171</v>
      </c>
      <c r="H47" s="557">
        <f t="shared" si="3"/>
        <v>37.931087999999995</v>
      </c>
      <c r="I47" s="1006">
        <f t="shared" si="1"/>
        <v>3.5339787792191997</v>
      </c>
      <c r="J47" s="614" t="s">
        <v>1084</v>
      </c>
      <c r="K47" s="1007" t="s">
        <v>255</v>
      </c>
      <c r="L47" s="1007" t="s">
        <v>1658</v>
      </c>
    </row>
    <row r="48" spans="1:15" s="311" customFormat="1" ht="15.5">
      <c r="A48" s="611">
        <f t="shared" si="2"/>
        <v>44</v>
      </c>
      <c r="B48" s="65">
        <v>22</v>
      </c>
      <c r="C48" s="1005" t="s">
        <v>400</v>
      </c>
      <c r="D48" s="65" t="str">
        <f>IFERROR(VLOOKUP(C48,Foundation!$C$5:$D$554,2,0),"")</f>
        <v>DA+3</v>
      </c>
      <c r="E48" s="732">
        <v>45682</v>
      </c>
      <c r="F48" s="732">
        <v>45687</v>
      </c>
      <c r="G48" s="64" t="s">
        <v>1199</v>
      </c>
      <c r="H48" s="557">
        <f t="shared" si="3"/>
        <v>37.931087999999995</v>
      </c>
      <c r="I48" s="1006">
        <f t="shared" si="1"/>
        <v>3.5339787792191997</v>
      </c>
      <c r="J48" s="64" t="s">
        <v>1187</v>
      </c>
      <c r="K48" s="1007" t="s">
        <v>255</v>
      </c>
      <c r="L48" s="1007" t="s">
        <v>1658</v>
      </c>
    </row>
    <row r="49" spans="1:12" s="311" customFormat="1" ht="15.5">
      <c r="A49" s="611">
        <f t="shared" si="2"/>
        <v>45</v>
      </c>
      <c r="B49" s="65">
        <v>23</v>
      </c>
      <c r="C49" s="1005" t="s">
        <v>607</v>
      </c>
      <c r="D49" s="65" t="str">
        <f>IFERROR(VLOOKUP(C49,Foundation!$C$5:$D$554,2,0),"")</f>
        <v>DA+3</v>
      </c>
      <c r="E49" s="732">
        <f>F42</f>
        <v>45679</v>
      </c>
      <c r="F49" s="732">
        <v>45687</v>
      </c>
      <c r="G49" s="64" t="s">
        <v>1172</v>
      </c>
      <c r="H49" s="557">
        <f t="shared" si="3"/>
        <v>37.931087999999995</v>
      </c>
      <c r="I49" s="1006">
        <f t="shared" si="1"/>
        <v>3.5339787792191997</v>
      </c>
      <c r="J49" s="64" t="s">
        <v>1173</v>
      </c>
      <c r="K49" s="1007" t="s">
        <v>255</v>
      </c>
      <c r="L49" s="1007" t="s">
        <v>1658</v>
      </c>
    </row>
    <row r="50" spans="1:12" s="311" customFormat="1" ht="15.5">
      <c r="A50" s="611">
        <f t="shared" si="2"/>
        <v>46</v>
      </c>
      <c r="B50" s="65">
        <v>24</v>
      </c>
      <c r="C50" s="1005" t="s">
        <v>493</v>
      </c>
      <c r="D50" s="65" t="str">
        <f>IFERROR(VLOOKUP(C50,Foundation!$C$5:$D$554,2,0),"")</f>
        <v>DB1+6</v>
      </c>
      <c r="E50" s="732">
        <f>F43</f>
        <v>45679</v>
      </c>
      <c r="F50" s="732">
        <v>45688</v>
      </c>
      <c r="G50" s="64" t="s">
        <v>1171</v>
      </c>
      <c r="H50" s="557">
        <f t="shared" si="3"/>
        <v>65.027778999999995</v>
      </c>
      <c r="I50" s="1006">
        <f t="shared" si="1"/>
        <v>6.0585341249835993</v>
      </c>
      <c r="J50" s="64" t="s">
        <v>1143</v>
      </c>
      <c r="K50" s="1007" t="s">
        <v>255</v>
      </c>
      <c r="L50" s="1007" t="s">
        <v>1658</v>
      </c>
    </row>
    <row r="51" spans="1:12" s="616" customFormat="1" ht="15.5">
      <c r="A51" s="611">
        <f t="shared" si="2"/>
        <v>47</v>
      </c>
      <c r="B51" s="611">
        <v>25</v>
      </c>
      <c r="C51" s="1005" t="s">
        <v>166</v>
      </c>
      <c r="D51" s="65" t="str">
        <f>IFERROR(VLOOKUP(C51,Foundation!$C$5:$D$554,2,0),"")</f>
        <v>DB1+6</v>
      </c>
      <c r="E51" s="732">
        <v>45674</v>
      </c>
      <c r="F51" s="732">
        <v>45688</v>
      </c>
      <c r="G51" s="64" t="s">
        <v>1160</v>
      </c>
      <c r="H51" s="557">
        <f t="shared" si="3"/>
        <v>65.027778999999995</v>
      </c>
      <c r="I51" s="1006">
        <f t="shared" si="1"/>
        <v>6.0585341249835993</v>
      </c>
      <c r="J51" s="614" t="s">
        <v>1174</v>
      </c>
      <c r="K51" s="1007" t="s">
        <v>255</v>
      </c>
      <c r="L51" s="1007" t="s">
        <v>1658</v>
      </c>
    </row>
    <row r="52" spans="1:12" s="311" customFormat="1" ht="15.5">
      <c r="A52" s="611">
        <f t="shared" si="2"/>
        <v>48</v>
      </c>
      <c r="B52" s="65">
        <v>1</v>
      </c>
      <c r="C52" s="1005" t="s">
        <v>401</v>
      </c>
      <c r="D52" s="65" t="str">
        <f>IFERROR(VLOOKUP(C52,Foundation!$C$5:$D$554,2,0),"")</f>
        <v>DA+0</v>
      </c>
      <c r="E52" s="732">
        <v>45687</v>
      </c>
      <c r="F52" s="732">
        <v>45691</v>
      </c>
      <c r="G52" s="64" t="s">
        <v>1199</v>
      </c>
      <c r="H52" s="557">
        <f t="shared" si="3"/>
        <v>36.159755999999994</v>
      </c>
      <c r="I52" s="773">
        <f t="shared" si="1"/>
        <v>3.3689466109103994</v>
      </c>
      <c r="J52" s="64" t="s">
        <v>1187</v>
      </c>
      <c r="K52" s="1010" t="s">
        <v>255</v>
      </c>
      <c r="L52" s="1007" t="s">
        <v>1658</v>
      </c>
    </row>
    <row r="53" spans="1:12" s="616" customFormat="1" ht="15.5">
      <c r="A53" s="611">
        <f t="shared" si="2"/>
        <v>49</v>
      </c>
      <c r="B53" s="611">
        <v>2</v>
      </c>
      <c r="C53" s="1005" t="s">
        <v>614</v>
      </c>
      <c r="D53" s="65" t="str">
        <f>IFERROR(VLOOKUP(C53,Foundation!$C$5:$D$554,2,0),"")</f>
        <v>DA+6</v>
      </c>
      <c r="E53" s="732">
        <v>45686</v>
      </c>
      <c r="F53" s="732">
        <v>45692</v>
      </c>
      <c r="G53" s="64" t="s">
        <v>1167</v>
      </c>
      <c r="H53" s="557">
        <f t="shared" si="3"/>
        <v>43.804423999999997</v>
      </c>
      <c r="I53" s="1006">
        <f t="shared" si="1"/>
        <v>4.0811880970015997</v>
      </c>
      <c r="J53" s="614" t="s">
        <v>1084</v>
      </c>
      <c r="K53" s="1007" t="s">
        <v>255</v>
      </c>
      <c r="L53" s="1007" t="s">
        <v>1658</v>
      </c>
    </row>
    <row r="54" spans="1:12" s="616" customFormat="1" ht="15.5">
      <c r="A54" s="611">
        <f t="shared" si="2"/>
        <v>50</v>
      </c>
      <c r="B54" s="611">
        <v>3</v>
      </c>
      <c r="C54" s="1005" t="s">
        <v>779</v>
      </c>
      <c r="D54" s="65" t="str">
        <f>IFERROR(VLOOKUP(C54,Foundation!$C$5:$D$554,2,0),"")</f>
        <v>DA+1.5</v>
      </c>
      <c r="E54" s="732">
        <v>45686</v>
      </c>
      <c r="F54" s="732">
        <v>45695</v>
      </c>
      <c r="G54" s="64" t="s">
        <v>1172</v>
      </c>
      <c r="H54" s="557">
        <f t="shared" si="3"/>
        <v>37.138323999999997</v>
      </c>
      <c r="I54" s="1006">
        <f t="shared" si="1"/>
        <v>3.4601182257615997</v>
      </c>
      <c r="J54" s="614" t="s">
        <v>1173</v>
      </c>
      <c r="K54" s="1007" t="s">
        <v>255</v>
      </c>
      <c r="L54" s="1007" t="s">
        <v>1658</v>
      </c>
    </row>
    <row r="55" spans="1:12" s="311" customFormat="1" ht="15.5">
      <c r="A55" s="611">
        <f t="shared" si="2"/>
        <v>51</v>
      </c>
      <c r="B55" s="65">
        <v>4</v>
      </c>
      <c r="C55" s="1005" t="s">
        <v>572</v>
      </c>
      <c r="D55" s="65" t="str">
        <f>IFERROR(VLOOKUP(C55,Foundation!$C$5:$D$554,2,0),"")</f>
        <v>DA+6</v>
      </c>
      <c r="E55" s="732">
        <v>45686</v>
      </c>
      <c r="F55" s="732">
        <v>45696</v>
      </c>
      <c r="G55" s="64" t="s">
        <v>1161</v>
      </c>
      <c r="H55" s="557">
        <f t="shared" si="3"/>
        <v>43.804423999999997</v>
      </c>
      <c r="I55" s="773">
        <f t="shared" si="1"/>
        <v>4.0811880970015997</v>
      </c>
      <c r="J55" s="64" t="s">
        <v>1017</v>
      </c>
      <c r="K55" s="1010" t="s">
        <v>255</v>
      </c>
      <c r="L55" s="1007" t="s">
        <v>1658</v>
      </c>
    </row>
    <row r="56" spans="1:12" s="311" customFormat="1" ht="15.5">
      <c r="A56" s="611">
        <f t="shared" si="2"/>
        <v>52</v>
      </c>
      <c r="B56" s="65">
        <v>5</v>
      </c>
      <c r="C56" s="1005" t="s">
        <v>393</v>
      </c>
      <c r="D56" s="65" t="str">
        <f>IFERROR(VLOOKUP(C56,Foundation!$C$5:$D$554,2,0),"")</f>
        <v>DA+6</v>
      </c>
      <c r="E56" s="732">
        <v>45691</v>
      </c>
      <c r="F56" s="732">
        <v>45696</v>
      </c>
      <c r="G56" s="64" t="s">
        <v>1199</v>
      </c>
      <c r="H56" s="557">
        <f t="shared" si="3"/>
        <v>43.804423999999997</v>
      </c>
      <c r="I56" s="773">
        <f t="shared" si="1"/>
        <v>4.0811880970015997</v>
      </c>
      <c r="J56" s="64" t="s">
        <v>1187</v>
      </c>
      <c r="K56" s="1010" t="s">
        <v>255</v>
      </c>
      <c r="L56" s="1007" t="s">
        <v>1658</v>
      </c>
    </row>
    <row r="57" spans="1:12" s="311" customFormat="1" ht="15.5">
      <c r="A57" s="611">
        <f t="shared" si="2"/>
        <v>53</v>
      </c>
      <c r="B57" s="65">
        <v>6</v>
      </c>
      <c r="C57" s="1005" t="s">
        <v>483</v>
      </c>
      <c r="D57" s="65" t="str">
        <f>IFERROR(VLOOKUP(C57,Foundation!$C$5:$D$554,2,0),"")</f>
        <v>DA-1.5</v>
      </c>
      <c r="E57" s="732">
        <v>45688</v>
      </c>
      <c r="F57" s="732">
        <v>45698</v>
      </c>
      <c r="G57" s="64" t="s">
        <v>1171</v>
      </c>
      <c r="H57" s="557">
        <f t="shared" si="3"/>
        <v>35.601761999999994</v>
      </c>
      <c r="I57" s="773">
        <f t="shared" si="1"/>
        <v>3.3169592027207995</v>
      </c>
      <c r="J57" s="64" t="s">
        <v>1143</v>
      </c>
      <c r="K57" s="1010" t="s">
        <v>255</v>
      </c>
      <c r="L57" s="1007" t="s">
        <v>1658</v>
      </c>
    </row>
    <row r="58" spans="1:12" s="616" customFormat="1" ht="15.5">
      <c r="A58" s="611">
        <f t="shared" si="2"/>
        <v>54</v>
      </c>
      <c r="B58" s="611">
        <v>7</v>
      </c>
      <c r="C58" s="1005" t="s">
        <v>612</v>
      </c>
      <c r="D58" s="65" t="str">
        <f>IFERROR(VLOOKUP(C58,Foundation!$C$5:$D$554,2,0),"")</f>
        <v>DA+1.5</v>
      </c>
      <c r="E58" s="732">
        <v>45693</v>
      </c>
      <c r="F58" s="732">
        <v>45698</v>
      </c>
      <c r="G58" s="64" t="s">
        <v>1167</v>
      </c>
      <c r="H58" s="557">
        <f t="shared" si="3"/>
        <v>37.138323999999997</v>
      </c>
      <c r="I58" s="1006">
        <f t="shared" si="1"/>
        <v>3.4601182257615997</v>
      </c>
      <c r="J58" s="614" t="s">
        <v>1084</v>
      </c>
      <c r="K58" s="1007" t="s">
        <v>255</v>
      </c>
      <c r="L58" s="1007" t="s">
        <v>1658</v>
      </c>
    </row>
    <row r="59" spans="1:12" s="311" customFormat="1" ht="15.5">
      <c r="A59" s="611">
        <f t="shared" si="2"/>
        <v>55</v>
      </c>
      <c r="B59" s="65">
        <v>8</v>
      </c>
      <c r="C59" s="1005" t="s">
        <v>262</v>
      </c>
      <c r="D59" s="65" t="str">
        <f>IFERROR(VLOOKUP(C59,Foundation!$C$5:$D$554,2,0),"")</f>
        <v>DB1+0</v>
      </c>
      <c r="E59" s="732">
        <v>45697</v>
      </c>
      <c r="F59" s="732">
        <v>45702</v>
      </c>
      <c r="G59" s="64" t="s">
        <v>1199</v>
      </c>
      <c r="H59" s="557">
        <f t="shared" si="3"/>
        <v>55.450851000000007</v>
      </c>
      <c r="I59" s="773">
        <f t="shared" si="1"/>
        <v>5.1662670663084009</v>
      </c>
      <c r="J59" s="64" t="s">
        <v>1187</v>
      </c>
      <c r="K59" s="1010" t="s">
        <v>255</v>
      </c>
      <c r="L59" s="1007" t="s">
        <v>1658</v>
      </c>
    </row>
    <row r="60" spans="1:12" s="616" customFormat="1" ht="15.5">
      <c r="A60" s="611">
        <f t="shared" si="2"/>
        <v>56</v>
      </c>
      <c r="B60" s="611">
        <v>9</v>
      </c>
      <c r="C60" s="1005" t="s">
        <v>613</v>
      </c>
      <c r="D60" s="65" t="str">
        <f>IFERROR(VLOOKUP(C60,Foundation!$C$5:$D$554,2,0),"")</f>
        <v>DA+3</v>
      </c>
      <c r="E60" s="732">
        <v>45699</v>
      </c>
      <c r="F60" s="732">
        <v>45703</v>
      </c>
      <c r="G60" s="64" t="s">
        <v>1167</v>
      </c>
      <c r="H60" s="557">
        <f t="shared" si="3"/>
        <v>37.931087999999995</v>
      </c>
      <c r="I60" s="1006">
        <f t="shared" si="1"/>
        <v>3.5339787792191997</v>
      </c>
      <c r="J60" s="614" t="s">
        <v>1084</v>
      </c>
      <c r="K60" s="1007" t="s">
        <v>255</v>
      </c>
      <c r="L60" s="1007" t="s">
        <v>1658</v>
      </c>
    </row>
    <row r="61" spans="1:12" s="616" customFormat="1" ht="15.5">
      <c r="A61" s="611">
        <f t="shared" si="2"/>
        <v>57</v>
      </c>
      <c r="B61" s="611">
        <v>10</v>
      </c>
      <c r="C61" s="1005" t="s">
        <v>778</v>
      </c>
      <c r="D61" s="65" t="str">
        <f>IFERROR(VLOOKUP(C61,Foundation!$C$5:$D$554,2,0),"")</f>
        <v>DA+3</v>
      </c>
      <c r="E61" s="732">
        <v>45696</v>
      </c>
      <c r="F61" s="732">
        <v>45704</v>
      </c>
      <c r="G61" s="64" t="s">
        <v>1172</v>
      </c>
      <c r="H61" s="557">
        <f t="shared" si="3"/>
        <v>37.931087999999995</v>
      </c>
      <c r="I61" s="1006">
        <f t="shared" si="1"/>
        <v>3.5339787792191997</v>
      </c>
      <c r="J61" s="614" t="s">
        <v>1173</v>
      </c>
      <c r="K61" s="1007" t="s">
        <v>255</v>
      </c>
      <c r="L61" s="1007" t="s">
        <v>1658</v>
      </c>
    </row>
    <row r="62" spans="1:12" s="311" customFormat="1" ht="15.5">
      <c r="A62" s="611">
        <f t="shared" si="2"/>
        <v>58</v>
      </c>
      <c r="B62" s="65">
        <v>11</v>
      </c>
      <c r="C62" s="1005" t="s">
        <v>571</v>
      </c>
      <c r="D62" s="65" t="str">
        <f>IFERROR(VLOOKUP(C62,Foundation!$C$5:$D$554,2,0),"")</f>
        <v>DA+0</v>
      </c>
      <c r="E62" s="732">
        <v>45688</v>
      </c>
      <c r="F62" s="732">
        <v>45706</v>
      </c>
      <c r="G62" s="64" t="s">
        <v>1160</v>
      </c>
      <c r="H62" s="557">
        <f t="shared" si="3"/>
        <v>36.159755999999994</v>
      </c>
      <c r="I62" s="773">
        <f t="shared" si="1"/>
        <v>3.3689466109103994</v>
      </c>
      <c r="J62" s="64" t="s">
        <v>1174</v>
      </c>
      <c r="K62" s="1010" t="s">
        <v>255</v>
      </c>
      <c r="L62" s="1007" t="s">
        <v>1658</v>
      </c>
    </row>
    <row r="63" spans="1:12" s="616" customFormat="1" ht="15.5">
      <c r="A63" s="611">
        <f t="shared" si="2"/>
        <v>59</v>
      </c>
      <c r="B63" s="611">
        <v>12</v>
      </c>
      <c r="C63" s="1005" t="s">
        <v>617</v>
      </c>
      <c r="D63" s="65" t="str">
        <f>IFERROR(VLOOKUP(C63,Foundation!$C$5:$D$554,2,0),"")</f>
        <v>DA+0</v>
      </c>
      <c r="E63" s="732">
        <v>45703</v>
      </c>
      <c r="F63" s="732">
        <v>45706</v>
      </c>
      <c r="G63" s="64" t="s">
        <v>1167</v>
      </c>
      <c r="H63" s="557">
        <f t="shared" si="3"/>
        <v>36.159755999999994</v>
      </c>
      <c r="I63" s="1006">
        <f t="shared" si="1"/>
        <v>3.3689466109103994</v>
      </c>
      <c r="J63" s="614" t="s">
        <v>1084</v>
      </c>
      <c r="K63" s="1007" t="s">
        <v>255</v>
      </c>
      <c r="L63" s="1007" t="s">
        <v>1658</v>
      </c>
    </row>
    <row r="64" spans="1:12" s="311" customFormat="1" ht="15.5">
      <c r="A64" s="611">
        <f t="shared" si="2"/>
        <v>60</v>
      </c>
      <c r="B64" s="65">
        <v>13</v>
      </c>
      <c r="C64" s="1005" t="s">
        <v>482</v>
      </c>
      <c r="D64" s="65" t="str">
        <f>IFERROR(VLOOKUP(C64,Foundation!$C$5:$D$554,2,0),"")</f>
        <v>DA+6</v>
      </c>
      <c r="E64" s="732">
        <v>45699</v>
      </c>
      <c r="F64" s="732">
        <v>45707</v>
      </c>
      <c r="G64" s="64" t="s">
        <v>1171</v>
      </c>
      <c r="H64" s="557">
        <f t="shared" si="3"/>
        <v>43.804423999999997</v>
      </c>
      <c r="I64" s="773">
        <f t="shared" si="1"/>
        <v>4.0811880970015997</v>
      </c>
      <c r="J64" s="64" t="s">
        <v>1143</v>
      </c>
      <c r="K64" s="1010" t="s">
        <v>255</v>
      </c>
      <c r="L64" s="1007" t="s">
        <v>1658</v>
      </c>
    </row>
    <row r="65" spans="1:12" s="311" customFormat="1" ht="15.5">
      <c r="A65" s="611">
        <f t="shared" si="2"/>
        <v>61</v>
      </c>
      <c r="B65" s="65">
        <v>14</v>
      </c>
      <c r="C65" s="1005" t="s">
        <v>394</v>
      </c>
      <c r="D65" s="65" t="str">
        <f>IFERROR(VLOOKUP(C65,Foundation!$C$5:$D$554,2,0),"")</f>
        <v>DA+9</v>
      </c>
      <c r="E65" s="732">
        <v>45702</v>
      </c>
      <c r="F65" s="732">
        <v>45707</v>
      </c>
      <c r="G65" s="64" t="s">
        <v>1199</v>
      </c>
      <c r="H65" s="557">
        <f t="shared" si="3"/>
        <v>45.697022000000004</v>
      </c>
      <c r="I65" s="773">
        <f t="shared" si="1"/>
        <v>4.2575184245048003</v>
      </c>
      <c r="J65" s="64" t="s">
        <v>1187</v>
      </c>
      <c r="K65" s="1010" t="s">
        <v>255</v>
      </c>
      <c r="L65" s="1007" t="s">
        <v>1658</v>
      </c>
    </row>
    <row r="66" spans="1:12" s="616" customFormat="1" ht="15.5">
      <c r="A66" s="611">
        <f t="shared" si="2"/>
        <v>62</v>
      </c>
      <c r="B66" s="611">
        <v>15</v>
      </c>
      <c r="C66" s="1005" t="s">
        <v>71</v>
      </c>
      <c r="D66" s="65" t="str">
        <f>IFERROR(VLOOKUP(C66,Foundation!$C$5:$D$554,2,0),"")</f>
        <v>DB2+0</v>
      </c>
      <c r="E66" s="732">
        <v>45697</v>
      </c>
      <c r="F66" s="732">
        <v>45711</v>
      </c>
      <c r="G66" s="64" t="s">
        <v>1161</v>
      </c>
      <c r="H66" s="557">
        <f t="shared" si="3"/>
        <v>59.500627999999999</v>
      </c>
      <c r="I66" s="1006">
        <f t="shared" si="1"/>
        <v>5.5435783097551994</v>
      </c>
      <c r="J66" s="614" t="s">
        <v>1017</v>
      </c>
      <c r="K66" s="1007" t="s">
        <v>255</v>
      </c>
      <c r="L66" s="1007" t="s">
        <v>1658</v>
      </c>
    </row>
    <row r="67" spans="1:12" s="616" customFormat="1" ht="15.5">
      <c r="A67" s="611">
        <f t="shared" si="2"/>
        <v>63</v>
      </c>
      <c r="B67" s="611">
        <v>16</v>
      </c>
      <c r="C67" s="1005" t="s">
        <v>618</v>
      </c>
      <c r="D67" s="65" t="str">
        <f>IFERROR(VLOOKUP(C67,Foundation!$C$5:$D$554,2,0),"")</f>
        <v>DA+3</v>
      </c>
      <c r="E67" s="732">
        <v>45706</v>
      </c>
      <c r="F67" s="732">
        <v>45712</v>
      </c>
      <c r="G67" s="64" t="s">
        <v>1167</v>
      </c>
      <c r="H67" s="557">
        <f t="shared" si="3"/>
        <v>37.931087999999995</v>
      </c>
      <c r="I67" s="1006">
        <f t="shared" si="1"/>
        <v>3.5339787792191997</v>
      </c>
      <c r="J67" s="614" t="s">
        <v>1084</v>
      </c>
      <c r="K67" s="1007" t="s">
        <v>255</v>
      </c>
      <c r="L67" s="1007" t="s">
        <v>1658</v>
      </c>
    </row>
    <row r="68" spans="1:12" s="311" customFormat="1" ht="15.5">
      <c r="A68" s="611">
        <f t="shared" si="2"/>
        <v>64</v>
      </c>
      <c r="B68" s="65">
        <v>17</v>
      </c>
      <c r="C68" s="1005" t="s">
        <v>395</v>
      </c>
      <c r="D68" s="65" t="str">
        <f>IFERROR(VLOOKUP(C68,Foundation!$C$5:$D$554,2,0),"")</f>
        <v>DA+6</v>
      </c>
      <c r="E68" s="732">
        <v>45708</v>
      </c>
      <c r="F68" s="732">
        <v>45712</v>
      </c>
      <c r="G68" s="64" t="s">
        <v>1199</v>
      </c>
      <c r="H68" s="557">
        <f t="shared" si="3"/>
        <v>43.804423999999997</v>
      </c>
      <c r="I68" s="773">
        <f t="shared" si="1"/>
        <v>4.0811880970015997</v>
      </c>
      <c r="J68" s="64" t="s">
        <v>1187</v>
      </c>
      <c r="K68" s="1010" t="s">
        <v>255</v>
      </c>
      <c r="L68" s="1007" t="s">
        <v>1658</v>
      </c>
    </row>
    <row r="69" spans="1:12" s="616" customFormat="1" ht="15.5">
      <c r="A69" s="611">
        <f t="shared" si="2"/>
        <v>65</v>
      </c>
      <c r="B69" s="611">
        <v>18</v>
      </c>
      <c r="C69" s="1005" t="s">
        <v>780</v>
      </c>
      <c r="D69" s="65" t="str">
        <f>IFERROR(VLOOKUP(C69,Foundation!$C$5:$D$554,2,0),"")</f>
        <v>DA+3</v>
      </c>
      <c r="E69" s="732">
        <v>45704</v>
      </c>
      <c r="F69" s="732">
        <v>45713</v>
      </c>
      <c r="G69" s="64" t="s">
        <v>1172</v>
      </c>
      <c r="H69" s="557">
        <f t="shared" si="3"/>
        <v>37.931087999999995</v>
      </c>
      <c r="I69" s="1006">
        <f t="shared" ref="I69:I132" si="4">IFERROR(VLOOKUP(D69,$D$316:$K$345,8,0)/10^5,"")</f>
        <v>3.5339787792191997</v>
      </c>
      <c r="J69" s="614" t="s">
        <v>1173</v>
      </c>
      <c r="K69" s="1007" t="s">
        <v>255</v>
      </c>
      <c r="L69" s="1007" t="s">
        <v>1658</v>
      </c>
    </row>
    <row r="70" spans="1:12" s="311" customFormat="1" ht="16.5" customHeight="1">
      <c r="A70" s="611">
        <f t="shared" ref="A70:A133" si="5">A69+1</f>
        <v>66</v>
      </c>
      <c r="B70" s="65">
        <v>19</v>
      </c>
      <c r="C70" s="1005" t="s">
        <v>481</v>
      </c>
      <c r="D70" s="65" t="str">
        <f>IFERROR(VLOOKUP(C70,Foundation!$C$5:$D$554,2,0),"")</f>
        <v>DA+6</v>
      </c>
      <c r="E70" s="732">
        <v>45708</v>
      </c>
      <c r="F70" s="732">
        <v>45715</v>
      </c>
      <c r="G70" s="64" t="s">
        <v>1171</v>
      </c>
      <c r="H70" s="557">
        <f t="shared" si="3"/>
        <v>43.804423999999997</v>
      </c>
      <c r="I70" s="773">
        <f t="shared" si="4"/>
        <v>4.0811880970015997</v>
      </c>
      <c r="J70" s="64" t="s">
        <v>1143</v>
      </c>
      <c r="K70" s="1010" t="s">
        <v>255</v>
      </c>
      <c r="L70" s="1007" t="s">
        <v>1658</v>
      </c>
    </row>
    <row r="71" spans="1:12" s="311" customFormat="1" ht="15.5">
      <c r="A71" s="611">
        <f t="shared" si="5"/>
        <v>67</v>
      </c>
      <c r="B71" s="65">
        <v>20</v>
      </c>
      <c r="C71" s="1005" t="s">
        <v>404</v>
      </c>
      <c r="D71" s="65" t="str">
        <f>IFERROR(VLOOKUP(C71,Foundation!$C$5:$D$554,2,0),"")</f>
        <v>DA+3</v>
      </c>
      <c r="E71" s="732">
        <v>45712</v>
      </c>
      <c r="F71" s="732">
        <v>45716</v>
      </c>
      <c r="G71" s="64" t="s">
        <v>1199</v>
      </c>
      <c r="H71" s="557">
        <f t="shared" si="3"/>
        <v>37.931087999999995</v>
      </c>
      <c r="I71" s="773">
        <f t="shared" si="4"/>
        <v>3.5339787792191997</v>
      </c>
      <c r="J71" s="64" t="s">
        <v>1143</v>
      </c>
      <c r="K71" s="1010" t="s">
        <v>255</v>
      </c>
      <c r="L71" s="1007" t="s">
        <v>1658</v>
      </c>
    </row>
    <row r="72" spans="1:12" s="616" customFormat="1" ht="15.5">
      <c r="A72" s="611">
        <f t="shared" si="5"/>
        <v>68</v>
      </c>
      <c r="B72" s="611">
        <v>21</v>
      </c>
      <c r="C72" s="1005" t="s">
        <v>782</v>
      </c>
      <c r="D72" s="65" t="str">
        <f>IFERROR(VLOOKUP(C72,Foundation!$C$5:$D$554,2,0),"")</f>
        <v>DA+3</v>
      </c>
      <c r="E72" s="732">
        <v>45712</v>
      </c>
      <c r="F72" s="732">
        <v>45716</v>
      </c>
      <c r="G72" s="64" t="s">
        <v>1167</v>
      </c>
      <c r="H72" s="557">
        <f t="shared" si="3"/>
        <v>37.931087999999995</v>
      </c>
      <c r="I72" s="1006">
        <f t="shared" si="4"/>
        <v>3.5339787792191997</v>
      </c>
      <c r="J72" s="614" t="s">
        <v>1241</v>
      </c>
      <c r="K72" s="1007" t="s">
        <v>255</v>
      </c>
      <c r="L72" s="1007" t="s">
        <v>1658</v>
      </c>
    </row>
    <row r="73" spans="1:12" s="311" customFormat="1" ht="15.5">
      <c r="A73" s="611">
        <f t="shared" si="5"/>
        <v>69</v>
      </c>
      <c r="B73" s="611">
        <v>1</v>
      </c>
      <c r="C73" s="1005" t="s">
        <v>574</v>
      </c>
      <c r="D73" s="611" t="str">
        <f>IFERROR(VLOOKUP(C73,Foundation!$C$5:$D$554,2,0),"")</f>
        <v>DA+3</v>
      </c>
      <c r="E73" s="732">
        <f>F62</f>
        <v>45706</v>
      </c>
      <c r="F73" s="732">
        <v>45720</v>
      </c>
      <c r="G73" s="64" t="s">
        <v>1160</v>
      </c>
      <c r="H73" s="557">
        <f t="shared" si="3"/>
        <v>37.931087999999995</v>
      </c>
      <c r="I73" s="1006">
        <f t="shared" si="4"/>
        <v>3.5339787792191997</v>
      </c>
      <c r="J73" s="614" t="s">
        <v>1084</v>
      </c>
      <c r="K73" s="1007" t="s">
        <v>255</v>
      </c>
      <c r="L73" s="1007" t="s">
        <v>1658</v>
      </c>
    </row>
    <row r="74" spans="1:12" s="311" customFormat="1" ht="15.5">
      <c r="A74" s="611">
        <f t="shared" si="5"/>
        <v>70</v>
      </c>
      <c r="B74" s="611">
        <v>2</v>
      </c>
      <c r="C74" s="1005" t="s">
        <v>407</v>
      </c>
      <c r="D74" s="611" t="str">
        <f>IFERROR(VLOOKUP(C74,Foundation!$C$5:$D$554,2,0),"")</f>
        <v>DA+0</v>
      </c>
      <c r="E74" s="732">
        <f>F71+1</f>
        <v>45717</v>
      </c>
      <c r="F74" s="732">
        <v>45720</v>
      </c>
      <c r="G74" s="64" t="s">
        <v>1199</v>
      </c>
      <c r="H74" s="557">
        <f t="shared" si="3"/>
        <v>36.159755999999994</v>
      </c>
      <c r="I74" s="1006">
        <f t="shared" si="4"/>
        <v>3.3689466109103994</v>
      </c>
      <c r="J74" s="614" t="s">
        <v>1143</v>
      </c>
      <c r="K74" s="1007" t="s">
        <v>255</v>
      </c>
      <c r="L74" s="1007" t="s">
        <v>1658</v>
      </c>
    </row>
    <row r="75" spans="1:12" s="616" customFormat="1" ht="15.5">
      <c r="A75" s="611">
        <f t="shared" si="5"/>
        <v>71</v>
      </c>
      <c r="B75" s="611">
        <v>3</v>
      </c>
      <c r="C75" s="1005" t="s">
        <v>609</v>
      </c>
      <c r="D75" s="65" t="str">
        <f>IFERROR(VLOOKUP(C75,Foundation!$C$5:$D$554,2,0),"")</f>
        <v>DA+0</v>
      </c>
      <c r="E75" s="732">
        <f>F72+1</f>
        <v>45717</v>
      </c>
      <c r="F75" s="732">
        <v>45722</v>
      </c>
      <c r="G75" s="64" t="s">
        <v>1167</v>
      </c>
      <c r="H75" s="557">
        <f t="shared" si="3"/>
        <v>36.159755999999994</v>
      </c>
      <c r="I75" s="1006">
        <f t="shared" si="4"/>
        <v>3.3689466109103994</v>
      </c>
      <c r="J75" s="614" t="s">
        <v>1241</v>
      </c>
      <c r="K75" s="1007" t="s">
        <v>255</v>
      </c>
      <c r="L75" s="1007" t="s">
        <v>1658</v>
      </c>
    </row>
    <row r="76" spans="1:12" s="616" customFormat="1" ht="15.5">
      <c r="A76" s="611">
        <f t="shared" si="5"/>
        <v>72</v>
      </c>
      <c r="B76" s="611">
        <v>4</v>
      </c>
      <c r="C76" s="1005" t="s">
        <v>781</v>
      </c>
      <c r="D76" s="65" t="str">
        <f>IFERROR(VLOOKUP(C76,Foundation!$C$5:$D$554,2,0),"")</f>
        <v>DA+9</v>
      </c>
      <c r="E76" s="732">
        <f>F69</f>
        <v>45713</v>
      </c>
      <c r="F76" s="732">
        <v>45722</v>
      </c>
      <c r="G76" s="64" t="s">
        <v>1172</v>
      </c>
      <c r="H76" s="557">
        <f t="shared" si="3"/>
        <v>45.697022000000004</v>
      </c>
      <c r="I76" s="1006">
        <f t="shared" si="4"/>
        <v>4.2575184245048003</v>
      </c>
      <c r="J76" s="614" t="s">
        <v>1173</v>
      </c>
      <c r="K76" s="1007" t="s">
        <v>255</v>
      </c>
      <c r="L76" s="1007" t="s">
        <v>1658</v>
      </c>
    </row>
    <row r="77" spans="1:12" s="616" customFormat="1" ht="15.5">
      <c r="A77" s="611">
        <f t="shared" si="5"/>
        <v>73</v>
      </c>
      <c r="B77" s="611">
        <v>5</v>
      </c>
      <c r="C77" s="1005" t="s">
        <v>783</v>
      </c>
      <c r="D77" s="65" t="str">
        <f>IFERROR(VLOOKUP(C77,Foundation!$C$5:$D$554,2,0),"")</f>
        <v>DA+3</v>
      </c>
      <c r="E77" s="732">
        <f>F66+1</f>
        <v>45712</v>
      </c>
      <c r="F77" s="732">
        <v>45724</v>
      </c>
      <c r="G77" s="64" t="s">
        <v>1161</v>
      </c>
      <c r="H77" s="557">
        <f t="shared" si="3"/>
        <v>37.931087999999995</v>
      </c>
      <c r="I77" s="1006">
        <f t="shared" si="4"/>
        <v>3.5339787792191997</v>
      </c>
      <c r="J77" s="614" t="s">
        <v>1241</v>
      </c>
      <c r="K77" s="1007" t="s">
        <v>255</v>
      </c>
      <c r="L77" s="1007" t="s">
        <v>1658</v>
      </c>
    </row>
    <row r="78" spans="1:12" s="311" customFormat="1" ht="15.5">
      <c r="A78" s="611">
        <f t="shared" si="5"/>
        <v>74</v>
      </c>
      <c r="B78" s="611">
        <v>6</v>
      </c>
      <c r="C78" s="1005" t="s">
        <v>370</v>
      </c>
      <c r="D78" s="611" t="str">
        <f>IFERROR(VLOOKUP(C78,Foundation!$C$5:$D$554,2,0),"")</f>
        <v>DA+6</v>
      </c>
      <c r="E78" s="732">
        <f>F74+1</f>
        <v>45721</v>
      </c>
      <c r="F78" s="732">
        <v>45725</v>
      </c>
      <c r="G78" s="64" t="s">
        <v>1199</v>
      </c>
      <c r="H78" s="557">
        <f t="shared" si="3"/>
        <v>43.804423999999997</v>
      </c>
      <c r="I78" s="1006">
        <f t="shared" si="4"/>
        <v>4.0811880970015997</v>
      </c>
      <c r="J78" s="614" t="s">
        <v>1187</v>
      </c>
      <c r="K78" s="1007" t="s">
        <v>255</v>
      </c>
      <c r="L78" s="1007" t="s">
        <v>1658</v>
      </c>
    </row>
    <row r="79" spans="1:12" s="616" customFormat="1" ht="15.5">
      <c r="A79" s="611">
        <f t="shared" si="5"/>
        <v>75</v>
      </c>
      <c r="B79" s="611">
        <v>7</v>
      </c>
      <c r="C79" s="1005" t="s">
        <v>777</v>
      </c>
      <c r="D79" s="65" t="str">
        <f>IFERROR(VLOOKUP(C79,Foundation!$C$5:$D$554,2,0),"")</f>
        <v>DB1+0</v>
      </c>
      <c r="E79" s="732">
        <f>F70+1</f>
        <v>45716</v>
      </c>
      <c r="F79" s="732">
        <v>45727</v>
      </c>
      <c r="G79" s="64" t="s">
        <v>1171</v>
      </c>
      <c r="H79" s="557">
        <f t="shared" si="3"/>
        <v>55.450851000000007</v>
      </c>
      <c r="I79" s="1006">
        <f t="shared" si="4"/>
        <v>5.1662670663084009</v>
      </c>
      <c r="J79" s="614" t="s">
        <v>1084</v>
      </c>
      <c r="K79" s="1007" t="s">
        <v>255</v>
      </c>
      <c r="L79" s="1007" t="s">
        <v>1658</v>
      </c>
    </row>
    <row r="80" spans="1:12" s="616" customFormat="1" ht="15.5">
      <c r="A80" s="611">
        <f t="shared" si="5"/>
        <v>76</v>
      </c>
      <c r="B80" s="611">
        <v>8</v>
      </c>
      <c r="C80" s="1005" t="s">
        <v>610</v>
      </c>
      <c r="D80" s="65" t="str">
        <f>IFERROR(VLOOKUP(C80,Foundation!$C$5:$D$554,2,0),"")</f>
        <v>DA+0</v>
      </c>
      <c r="E80" s="732">
        <f>F75+1</f>
        <v>45723</v>
      </c>
      <c r="F80" s="732">
        <v>45727</v>
      </c>
      <c r="G80" s="64" t="s">
        <v>1167</v>
      </c>
      <c r="H80" s="557">
        <f t="shared" si="3"/>
        <v>36.159755999999994</v>
      </c>
      <c r="I80" s="1006">
        <f t="shared" si="4"/>
        <v>3.3689466109103994</v>
      </c>
      <c r="J80" s="614" t="s">
        <v>1017</v>
      </c>
      <c r="K80" s="1007" t="s">
        <v>255</v>
      </c>
      <c r="L80" s="1007" t="s">
        <v>1658</v>
      </c>
    </row>
    <row r="81" spans="1:12" s="616" customFormat="1" ht="15.5">
      <c r="A81" s="611">
        <f t="shared" si="5"/>
        <v>77</v>
      </c>
      <c r="B81" s="611">
        <v>9</v>
      </c>
      <c r="C81" s="1005" t="s">
        <v>626</v>
      </c>
      <c r="D81" s="65" t="str">
        <f>IFERROR(VLOOKUP(C81,Foundation!$C$5:$D$554,2,0),"")</f>
        <v>DA+3</v>
      </c>
      <c r="E81" s="732">
        <f>F76+1</f>
        <v>45723</v>
      </c>
      <c r="F81" s="732">
        <v>45729</v>
      </c>
      <c r="G81" s="64" t="s">
        <v>1172</v>
      </c>
      <c r="H81" s="557">
        <f t="shared" si="3"/>
        <v>37.931087999999995</v>
      </c>
      <c r="I81" s="1006">
        <f t="shared" si="4"/>
        <v>3.5339787792191997</v>
      </c>
      <c r="J81" s="614" t="s">
        <v>1173</v>
      </c>
      <c r="K81" s="1007" t="s">
        <v>255</v>
      </c>
      <c r="L81" s="1007" t="s">
        <v>1658</v>
      </c>
    </row>
    <row r="82" spans="1:12" s="311" customFormat="1" ht="15.5">
      <c r="A82" s="611">
        <f t="shared" si="5"/>
        <v>78</v>
      </c>
      <c r="B82" s="611">
        <v>10</v>
      </c>
      <c r="C82" s="1005" t="s">
        <v>406</v>
      </c>
      <c r="D82" s="611" t="str">
        <f>IFERROR(VLOOKUP(C82,Foundation!$C$5:$D$554,2,0),"")</f>
        <v>DA+3</v>
      </c>
      <c r="E82" s="732">
        <f>F78+1</f>
        <v>45726</v>
      </c>
      <c r="F82" s="732">
        <v>45729</v>
      </c>
      <c r="G82" s="64" t="s">
        <v>1199</v>
      </c>
      <c r="H82" s="557">
        <f t="shared" si="3"/>
        <v>37.931087999999995</v>
      </c>
      <c r="I82" s="1006">
        <f t="shared" si="4"/>
        <v>3.5339787792191997</v>
      </c>
      <c r="J82" s="614" t="s">
        <v>1187</v>
      </c>
      <c r="K82" s="1007" t="s">
        <v>255</v>
      </c>
      <c r="L82" s="1007" t="s">
        <v>1658</v>
      </c>
    </row>
    <row r="83" spans="1:12" s="311" customFormat="1" ht="15.5">
      <c r="A83" s="611">
        <f t="shared" si="5"/>
        <v>79</v>
      </c>
      <c r="B83" s="611">
        <v>11</v>
      </c>
      <c r="C83" s="1005" t="s">
        <v>415</v>
      </c>
      <c r="D83" s="611" t="str">
        <f>IFERROR(VLOOKUP(C83,Foundation!$C$5:$D$554,2,0),"")</f>
        <v>DA+3</v>
      </c>
      <c r="E83" s="732">
        <f>F82+1</f>
        <v>45730</v>
      </c>
      <c r="F83" s="732">
        <v>45734</v>
      </c>
      <c r="G83" s="64" t="s">
        <v>1199</v>
      </c>
      <c r="H83" s="557">
        <f t="shared" si="3"/>
        <v>37.931087999999995</v>
      </c>
      <c r="I83" s="1006">
        <f t="shared" si="4"/>
        <v>3.5339787792191997</v>
      </c>
      <c r="J83" s="614" t="s">
        <v>1187</v>
      </c>
      <c r="K83" s="1007" t="s">
        <v>255</v>
      </c>
      <c r="L83" s="1007" t="s">
        <v>1658</v>
      </c>
    </row>
    <row r="84" spans="1:12" s="616" customFormat="1" ht="15.5">
      <c r="A84" s="611">
        <f t="shared" si="5"/>
        <v>80</v>
      </c>
      <c r="B84" s="611">
        <v>12</v>
      </c>
      <c r="C84" s="1005" t="s">
        <v>615</v>
      </c>
      <c r="D84" s="65" t="str">
        <f>IFERROR(VLOOKUP(C84,Foundation!$C$5:$D$554,2,0),"")</f>
        <v>DA+9</v>
      </c>
      <c r="E84" s="732">
        <f>F80+1</f>
        <v>45728</v>
      </c>
      <c r="F84" s="732">
        <v>45734</v>
      </c>
      <c r="G84" s="64" t="s">
        <v>1167</v>
      </c>
      <c r="H84" s="557">
        <f t="shared" si="3"/>
        <v>45.697022000000004</v>
      </c>
      <c r="I84" s="1006">
        <f t="shared" si="4"/>
        <v>4.2575184245048003</v>
      </c>
      <c r="J84" s="614" t="s">
        <v>1017</v>
      </c>
      <c r="K84" s="1007" t="s">
        <v>255</v>
      </c>
      <c r="L84" s="1007" t="s">
        <v>1658</v>
      </c>
    </row>
    <row r="85" spans="1:12" s="616" customFormat="1" ht="15.5">
      <c r="A85" s="611">
        <f t="shared" si="5"/>
        <v>81</v>
      </c>
      <c r="B85" s="611">
        <v>13</v>
      </c>
      <c r="C85" s="1005" t="s">
        <v>621</v>
      </c>
      <c r="D85" s="65" t="str">
        <f>IFERROR(VLOOKUP(C85,Foundation!$C$5:$D$554,2,0),"")</f>
        <v>DA+3</v>
      </c>
      <c r="E85" s="732">
        <f>F79+1</f>
        <v>45728</v>
      </c>
      <c r="F85" s="732">
        <v>45735</v>
      </c>
      <c r="G85" s="64" t="s">
        <v>1171</v>
      </c>
      <c r="H85" s="557">
        <f t="shared" si="3"/>
        <v>37.931087999999995</v>
      </c>
      <c r="I85" s="1006">
        <f t="shared" si="4"/>
        <v>3.5339787792191997</v>
      </c>
      <c r="J85" s="614" t="s">
        <v>1084</v>
      </c>
      <c r="K85" s="1007" t="s">
        <v>255</v>
      </c>
      <c r="L85" s="1007" t="s">
        <v>1658</v>
      </c>
    </row>
    <row r="86" spans="1:12" s="616" customFormat="1" ht="15.5">
      <c r="A86" s="611">
        <f t="shared" si="5"/>
        <v>82</v>
      </c>
      <c r="B86" s="611">
        <v>14</v>
      </c>
      <c r="C86" s="1005" t="s">
        <v>624</v>
      </c>
      <c r="D86" s="65" t="str">
        <f>IFERROR(VLOOKUP(C86,Foundation!$C$5:$D$554,2,0),"")</f>
        <v>DA+1.5</v>
      </c>
      <c r="E86" s="732">
        <f>F81+1</f>
        <v>45730</v>
      </c>
      <c r="F86" s="732">
        <v>45736</v>
      </c>
      <c r="G86" s="64" t="s">
        <v>1172</v>
      </c>
      <c r="H86" s="557">
        <f t="shared" si="3"/>
        <v>37.138323999999997</v>
      </c>
      <c r="I86" s="1006">
        <f t="shared" si="4"/>
        <v>3.4601182257615997</v>
      </c>
      <c r="J86" s="614" t="s">
        <v>1173</v>
      </c>
      <c r="K86" s="1007" t="s">
        <v>255</v>
      </c>
      <c r="L86" s="1007" t="s">
        <v>1658</v>
      </c>
    </row>
    <row r="87" spans="1:12" s="616" customFormat="1" ht="15.5">
      <c r="A87" s="611">
        <f t="shared" si="5"/>
        <v>83</v>
      </c>
      <c r="B87" s="611">
        <v>15</v>
      </c>
      <c r="C87" s="1005" t="s">
        <v>73</v>
      </c>
      <c r="D87" s="65" t="str">
        <f>IFERROR(VLOOKUP(C87,Foundation!$C$5:$D$554,2,0),"")</f>
        <v>DB2+0</v>
      </c>
      <c r="E87" s="732">
        <f>F77+1</f>
        <v>45725</v>
      </c>
      <c r="F87" s="732">
        <v>45737</v>
      </c>
      <c r="G87" s="64" t="s">
        <v>1161</v>
      </c>
      <c r="H87" s="557">
        <f t="shared" si="3"/>
        <v>59.500627999999999</v>
      </c>
      <c r="I87" s="1006">
        <f t="shared" si="4"/>
        <v>5.5435783097551994</v>
      </c>
      <c r="J87" s="614" t="s">
        <v>1143</v>
      </c>
      <c r="K87" s="1007" t="s">
        <v>255</v>
      </c>
      <c r="L87" s="1007" t="s">
        <v>1658</v>
      </c>
    </row>
    <row r="88" spans="1:12" s="311" customFormat="1" ht="15.5">
      <c r="A88" s="611">
        <f t="shared" si="5"/>
        <v>84</v>
      </c>
      <c r="B88" s="611">
        <v>16</v>
      </c>
      <c r="C88" s="1005" t="s">
        <v>416</v>
      </c>
      <c r="D88" s="611" t="str">
        <f>IFERROR(VLOOKUP(C88,Foundation!$C$5:$D$554,2,0),"")</f>
        <v>DA+3</v>
      </c>
      <c r="E88" s="732">
        <f>F83+1</f>
        <v>45735</v>
      </c>
      <c r="F88" s="732">
        <v>45738</v>
      </c>
      <c r="G88" s="64" t="s">
        <v>1199</v>
      </c>
      <c r="H88" s="557">
        <f t="shared" si="3"/>
        <v>37.931087999999995</v>
      </c>
      <c r="I88" s="1006">
        <f t="shared" si="4"/>
        <v>3.5339787792191997</v>
      </c>
      <c r="J88" s="614" t="s">
        <v>1187</v>
      </c>
      <c r="K88" s="1007" t="s">
        <v>255</v>
      </c>
      <c r="L88" s="1007" t="s">
        <v>1658</v>
      </c>
    </row>
    <row r="89" spans="1:12" s="616" customFormat="1" ht="15.5">
      <c r="A89" s="611">
        <f t="shared" si="5"/>
        <v>85</v>
      </c>
      <c r="B89" s="611">
        <v>17</v>
      </c>
      <c r="C89" s="1005" t="s">
        <v>616</v>
      </c>
      <c r="D89" s="65" t="str">
        <f>IFERROR(VLOOKUP(C89,Foundation!$C$5:$D$554,2,0),"")</f>
        <v>DA+1.5</v>
      </c>
      <c r="E89" s="732">
        <f>F84+1</f>
        <v>45735</v>
      </c>
      <c r="F89" s="732">
        <v>45740</v>
      </c>
      <c r="G89" s="64" t="s">
        <v>1167</v>
      </c>
      <c r="H89" s="557">
        <f t="shared" si="3"/>
        <v>37.138323999999997</v>
      </c>
      <c r="I89" s="1006">
        <f t="shared" si="4"/>
        <v>3.4601182257615997</v>
      </c>
      <c r="J89" s="614" t="s">
        <v>1017</v>
      </c>
      <c r="K89" s="1007" t="s">
        <v>255</v>
      </c>
      <c r="L89" s="1007" t="s">
        <v>1658</v>
      </c>
    </row>
    <row r="90" spans="1:12" s="616" customFormat="1" ht="15.5">
      <c r="A90" s="611">
        <f t="shared" si="5"/>
        <v>86</v>
      </c>
      <c r="B90" s="611">
        <v>18</v>
      </c>
      <c r="C90" s="1005" t="s">
        <v>622</v>
      </c>
      <c r="D90" s="65" t="str">
        <f>IFERROR(VLOOKUP(C90,Foundation!$C$5:$D$554,2,0),"")</f>
        <v>DA+1.5</v>
      </c>
      <c r="E90" s="732">
        <v>45736</v>
      </c>
      <c r="F90" s="732">
        <v>45741</v>
      </c>
      <c r="G90" s="64" t="s">
        <v>1171</v>
      </c>
      <c r="H90" s="557">
        <f t="shared" si="3"/>
        <v>37.138323999999997</v>
      </c>
      <c r="I90" s="1006">
        <f t="shared" si="4"/>
        <v>3.4601182257615997</v>
      </c>
      <c r="J90" s="614" t="s">
        <v>1084</v>
      </c>
      <c r="K90" s="1007" t="s">
        <v>255</v>
      </c>
      <c r="L90" s="1007" t="s">
        <v>1658</v>
      </c>
    </row>
    <row r="91" spans="1:12" s="616" customFormat="1" ht="15.5">
      <c r="A91" s="611">
        <f t="shared" si="5"/>
        <v>87</v>
      </c>
      <c r="B91" s="611">
        <v>19</v>
      </c>
      <c r="C91" s="1005" t="s">
        <v>623</v>
      </c>
      <c r="D91" s="65" t="str">
        <f>IFERROR(VLOOKUP(C91,Foundation!$C$5:$D$554,2,0),"")</f>
        <v>DA+3</v>
      </c>
      <c r="E91" s="732">
        <v>45737</v>
      </c>
      <c r="F91" s="732">
        <v>45743</v>
      </c>
      <c r="G91" s="64" t="s">
        <v>1172</v>
      </c>
      <c r="H91" s="557">
        <f t="shared" si="3"/>
        <v>37.931087999999995</v>
      </c>
      <c r="I91" s="1006">
        <f t="shared" si="4"/>
        <v>3.5339787792191997</v>
      </c>
      <c r="J91" s="614" t="s">
        <v>1173</v>
      </c>
      <c r="K91" s="1007" t="s">
        <v>255</v>
      </c>
      <c r="L91" s="1007" t="s">
        <v>1658</v>
      </c>
    </row>
    <row r="92" spans="1:12" s="311" customFormat="1" ht="15.5">
      <c r="A92" s="611">
        <f t="shared" si="5"/>
        <v>88</v>
      </c>
      <c r="B92" s="611">
        <v>20</v>
      </c>
      <c r="C92" s="1005" t="s">
        <v>417</v>
      </c>
      <c r="D92" s="611" t="str">
        <f>IFERROR(VLOOKUP(C92,Foundation!$C$5:$D$554,2,0),"")</f>
        <v>DA+6</v>
      </c>
      <c r="E92" s="732">
        <v>45739</v>
      </c>
      <c r="F92" s="732">
        <v>45743</v>
      </c>
      <c r="G92" s="64" t="s">
        <v>1199</v>
      </c>
      <c r="H92" s="557">
        <f t="shared" si="3"/>
        <v>43.804423999999997</v>
      </c>
      <c r="I92" s="1006">
        <f t="shared" si="4"/>
        <v>4.0811880970015997</v>
      </c>
      <c r="J92" s="614" t="s">
        <v>1187</v>
      </c>
      <c r="K92" s="1007" t="s">
        <v>255</v>
      </c>
      <c r="L92" s="1007" t="s">
        <v>1658</v>
      </c>
    </row>
    <row r="93" spans="1:12" s="616" customFormat="1" ht="15.5">
      <c r="A93" s="611">
        <f t="shared" si="5"/>
        <v>89</v>
      </c>
      <c r="B93" s="611">
        <v>21</v>
      </c>
      <c r="C93" s="1005" t="s">
        <v>620</v>
      </c>
      <c r="D93" s="65" t="str">
        <f>IFERROR(VLOOKUP(C93,Foundation!$C$5:$D$554,2,0),"")</f>
        <v>DA-1.5</v>
      </c>
      <c r="E93" s="732">
        <v>45738</v>
      </c>
      <c r="F93" s="732">
        <v>45745</v>
      </c>
      <c r="G93" s="64" t="s">
        <v>1161</v>
      </c>
      <c r="H93" s="557">
        <f t="shared" si="3"/>
        <v>35.601761999999994</v>
      </c>
      <c r="I93" s="1006">
        <f t="shared" si="4"/>
        <v>3.3169592027207995</v>
      </c>
      <c r="J93" s="614" t="s">
        <v>1143</v>
      </c>
      <c r="K93" s="1007" t="s">
        <v>255</v>
      </c>
      <c r="L93" s="1007" t="s">
        <v>1658</v>
      </c>
    </row>
    <row r="94" spans="1:12" s="616" customFormat="1" ht="15.5">
      <c r="A94" s="611">
        <f t="shared" si="5"/>
        <v>90</v>
      </c>
      <c r="B94" s="611">
        <v>22</v>
      </c>
      <c r="C94" s="1005" t="s">
        <v>628</v>
      </c>
      <c r="D94" s="65" t="str">
        <f>IFERROR(VLOOKUP(C94,Foundation!$C$5:$D$554,2,0),"")</f>
        <v>DA+6</v>
      </c>
      <c r="E94" s="732">
        <v>45741</v>
      </c>
      <c r="F94" s="732">
        <v>45746</v>
      </c>
      <c r="G94" s="64" t="s">
        <v>1167</v>
      </c>
      <c r="H94" s="557">
        <f t="shared" si="3"/>
        <v>43.804423999999997</v>
      </c>
      <c r="I94" s="1006">
        <f t="shared" si="4"/>
        <v>4.0811880970015997</v>
      </c>
      <c r="J94" s="614" t="s">
        <v>1017</v>
      </c>
      <c r="K94" s="1007" t="s">
        <v>255</v>
      </c>
      <c r="L94" s="1007" t="s">
        <v>1658</v>
      </c>
    </row>
    <row r="95" spans="1:12" s="616" customFormat="1" ht="15.5">
      <c r="A95" s="611">
        <f t="shared" si="5"/>
        <v>91</v>
      </c>
      <c r="B95" s="611">
        <v>23</v>
      </c>
      <c r="C95" s="1005" t="s">
        <v>207</v>
      </c>
      <c r="D95" s="611" t="str">
        <f>IFERROR(VLOOKUP(C95,Foundation!$C$5:$D$554,2,0),"")</f>
        <v>DA+6</v>
      </c>
      <c r="E95" s="732">
        <v>45742</v>
      </c>
      <c r="F95" s="732">
        <v>45747</v>
      </c>
      <c r="G95" s="64" t="s">
        <v>1171</v>
      </c>
      <c r="H95" s="557">
        <f t="shared" si="3"/>
        <v>43.804423999999997</v>
      </c>
      <c r="I95" s="1006">
        <f t="shared" si="4"/>
        <v>4.0811880970015997</v>
      </c>
      <c r="J95" s="614" t="s">
        <v>1084</v>
      </c>
      <c r="K95" s="1007" t="s">
        <v>255</v>
      </c>
      <c r="L95" s="1007" t="s">
        <v>1658</v>
      </c>
    </row>
    <row r="96" spans="1:12" s="616" customFormat="1" ht="15.5">
      <c r="A96" s="611">
        <f t="shared" si="5"/>
        <v>92</v>
      </c>
      <c r="B96" s="611">
        <v>24</v>
      </c>
      <c r="C96" s="1005" t="s">
        <v>418</v>
      </c>
      <c r="D96" s="611" t="str">
        <f>IFERROR(VLOOKUP(C96,Foundation!$C$5:$D$554,2,0),"")</f>
        <v>DA+3</v>
      </c>
      <c r="E96" s="732">
        <v>45742</v>
      </c>
      <c r="F96" s="732">
        <v>45747</v>
      </c>
      <c r="G96" s="64" t="s">
        <v>1199</v>
      </c>
      <c r="H96" s="557">
        <f t="shared" si="3"/>
        <v>37.931087999999995</v>
      </c>
      <c r="I96" s="1006">
        <f t="shared" si="4"/>
        <v>3.5339787792191997</v>
      </c>
      <c r="J96" s="614" t="s">
        <v>1187</v>
      </c>
      <c r="K96" s="1007" t="s">
        <v>255</v>
      </c>
      <c r="L96" s="1007" t="s">
        <v>1658</v>
      </c>
    </row>
    <row r="97" spans="1:12" s="616" customFormat="1" ht="15.5">
      <c r="A97" s="611">
        <f t="shared" si="5"/>
        <v>93</v>
      </c>
      <c r="B97" s="611">
        <v>25</v>
      </c>
      <c r="C97" s="1005" t="s">
        <v>627</v>
      </c>
      <c r="D97" s="65" t="str">
        <f>IFERROR(VLOOKUP(C97,Foundation!$C$5:$D$554,2,0),"")</f>
        <v>DA+1.5</v>
      </c>
      <c r="E97" s="732">
        <v>45377</v>
      </c>
      <c r="F97" s="732">
        <v>45747</v>
      </c>
      <c r="G97" s="64" t="s">
        <v>1172</v>
      </c>
      <c r="H97" s="557">
        <f t="shared" si="3"/>
        <v>37.138323999999997</v>
      </c>
      <c r="I97" s="1006">
        <f t="shared" si="4"/>
        <v>3.4601182257615997</v>
      </c>
      <c r="J97" s="614" t="s">
        <v>1173</v>
      </c>
      <c r="K97" s="1007" t="s">
        <v>255</v>
      </c>
      <c r="L97" s="1007" t="s">
        <v>1658</v>
      </c>
    </row>
    <row r="98" spans="1:12" s="616" customFormat="1" ht="15.5">
      <c r="A98" s="611">
        <f t="shared" si="5"/>
        <v>94</v>
      </c>
      <c r="B98" s="611">
        <v>1</v>
      </c>
      <c r="C98" s="1005" t="s">
        <v>629</v>
      </c>
      <c r="D98" s="65" t="str">
        <f>IFERROR(VLOOKUP(C98,Foundation!$C$5:$D$554,2,0),"")</f>
        <v>DA+3</v>
      </c>
      <c r="E98" s="732">
        <v>45747</v>
      </c>
      <c r="F98" s="732">
        <v>45752</v>
      </c>
      <c r="G98" s="64" t="s">
        <v>1172</v>
      </c>
      <c r="H98" s="557">
        <f t="shared" si="3"/>
        <v>37.931087999999995</v>
      </c>
      <c r="I98" s="1006">
        <f t="shared" si="4"/>
        <v>3.5339787792191997</v>
      </c>
      <c r="J98" s="614" t="s">
        <v>1173</v>
      </c>
      <c r="K98" s="1007" t="s">
        <v>255</v>
      </c>
      <c r="L98" s="1007" t="s">
        <v>1658</v>
      </c>
    </row>
    <row r="99" spans="1:12" s="616" customFormat="1" ht="15.5">
      <c r="A99" s="611">
        <f t="shared" si="5"/>
        <v>95</v>
      </c>
      <c r="B99" s="611">
        <v>2</v>
      </c>
      <c r="C99" s="1005" t="s">
        <v>419</v>
      </c>
      <c r="D99" s="611" t="str">
        <f>IFERROR(VLOOKUP(C99,Foundation!$C$5:$D$554,2,0),"")</f>
        <v>DA+9</v>
      </c>
      <c r="E99" s="732">
        <v>45747</v>
      </c>
      <c r="F99" s="732">
        <v>45753</v>
      </c>
      <c r="G99" s="64" t="s">
        <v>1199</v>
      </c>
      <c r="H99" s="557">
        <f t="shared" ref="H99:H162" si="6">VLOOKUP(D99,$D$316:$I$345,6,0)</f>
        <v>45.697022000000004</v>
      </c>
      <c r="I99" s="1006">
        <f t="shared" si="4"/>
        <v>4.2575184245048003</v>
      </c>
      <c r="J99" s="614" t="s">
        <v>1187</v>
      </c>
      <c r="K99" s="1007" t="s">
        <v>255</v>
      </c>
      <c r="L99" s="1007" t="s">
        <v>1658</v>
      </c>
    </row>
    <row r="100" spans="1:12" s="616" customFormat="1" ht="15.5">
      <c r="A100" s="611">
        <f t="shared" si="5"/>
        <v>96</v>
      </c>
      <c r="B100" s="611">
        <v>3</v>
      </c>
      <c r="C100" s="1005" t="s">
        <v>630</v>
      </c>
      <c r="D100" s="65" t="str">
        <f>IFERROR(VLOOKUP(C100,Foundation!$C$5:$D$554,2,0),"")</f>
        <v>DA+6</v>
      </c>
      <c r="E100" s="732">
        <v>45746</v>
      </c>
      <c r="F100" s="732">
        <v>45756</v>
      </c>
      <c r="G100" s="64" t="s">
        <v>1167</v>
      </c>
      <c r="H100" s="557">
        <f t="shared" si="6"/>
        <v>43.804423999999997</v>
      </c>
      <c r="I100" s="1006">
        <f t="shared" si="4"/>
        <v>4.0811880970015997</v>
      </c>
      <c r="J100" s="614" t="s">
        <v>1017</v>
      </c>
      <c r="K100" s="1007" t="s">
        <v>255</v>
      </c>
      <c r="L100" s="1007" t="s">
        <v>1658</v>
      </c>
    </row>
    <row r="101" spans="1:12" s="616" customFormat="1" ht="15.5">
      <c r="A101" s="611">
        <f t="shared" si="5"/>
        <v>97</v>
      </c>
      <c r="B101" s="611">
        <v>4</v>
      </c>
      <c r="C101" s="1005" t="s">
        <v>5</v>
      </c>
      <c r="D101" s="611" t="str">
        <f>IFERROR(VLOOKUP(C101,Foundation!$C$5:$D$554,2,0),"")</f>
        <v>DA+3</v>
      </c>
      <c r="E101" s="732">
        <v>45747</v>
      </c>
      <c r="F101" s="732">
        <v>45756</v>
      </c>
      <c r="G101" s="64" t="s">
        <v>1171</v>
      </c>
      <c r="H101" s="557">
        <f t="shared" si="6"/>
        <v>37.931087999999995</v>
      </c>
      <c r="I101" s="1006">
        <f t="shared" si="4"/>
        <v>3.5339787792191997</v>
      </c>
      <c r="J101" s="614" t="s">
        <v>1084</v>
      </c>
      <c r="K101" s="1007" t="s">
        <v>255</v>
      </c>
      <c r="L101" s="1007" t="s">
        <v>1658</v>
      </c>
    </row>
    <row r="102" spans="1:12" s="616" customFormat="1" ht="15.5">
      <c r="A102" s="611">
        <f t="shared" si="5"/>
        <v>98</v>
      </c>
      <c r="B102" s="611">
        <v>5</v>
      </c>
      <c r="C102" s="1005" t="s">
        <v>72</v>
      </c>
      <c r="D102" s="65" t="str">
        <f>IFERROR(VLOOKUP(C102,Foundation!$C$5:$D$554,2,0),"")</f>
        <v>DB1+3</v>
      </c>
      <c r="E102" s="732">
        <v>45745</v>
      </c>
      <c r="F102" s="732">
        <v>45758</v>
      </c>
      <c r="G102" s="64" t="s">
        <v>1161</v>
      </c>
      <c r="H102" s="557">
        <f t="shared" si="6"/>
        <v>57.963171000000003</v>
      </c>
      <c r="I102" s="1006">
        <f t="shared" si="4"/>
        <v>5.4003359009964012</v>
      </c>
      <c r="J102" s="614" t="s">
        <v>662</v>
      </c>
      <c r="K102" s="1007" t="s">
        <v>255</v>
      </c>
      <c r="L102" s="1007" t="s">
        <v>1658</v>
      </c>
    </row>
    <row r="103" spans="1:12" s="616" customFormat="1" ht="15.5">
      <c r="A103" s="611">
        <f t="shared" si="5"/>
        <v>99</v>
      </c>
      <c r="B103" s="611">
        <v>6</v>
      </c>
      <c r="C103" s="1005" t="s">
        <v>632</v>
      </c>
      <c r="D103" s="611" t="str">
        <f>IFERROR(VLOOKUP(C103,Foundation!$C$5:$D$554,2,0),"")</f>
        <v>DA+9</v>
      </c>
      <c r="E103" s="732">
        <v>45752</v>
      </c>
      <c r="F103" s="732">
        <v>45761</v>
      </c>
      <c r="G103" s="64" t="s">
        <v>1172</v>
      </c>
      <c r="H103" s="557">
        <f t="shared" si="6"/>
        <v>45.697022000000004</v>
      </c>
      <c r="I103" s="1006">
        <f t="shared" si="4"/>
        <v>4.2575184245048003</v>
      </c>
      <c r="J103" s="614" t="s">
        <v>1173</v>
      </c>
      <c r="K103" s="1007" t="s">
        <v>255</v>
      </c>
      <c r="L103" s="1007" t="s">
        <v>1658</v>
      </c>
    </row>
    <row r="104" spans="1:12" s="616" customFormat="1" ht="15.5">
      <c r="A104" s="611">
        <f t="shared" si="5"/>
        <v>100</v>
      </c>
      <c r="B104" s="611">
        <v>7</v>
      </c>
      <c r="C104" s="1005" t="s">
        <v>6</v>
      </c>
      <c r="D104" s="611" t="str">
        <f>IFERROR(VLOOKUP(C104,Foundation!$C$5:$D$554,2,0),"")</f>
        <v>DA+6</v>
      </c>
      <c r="E104" s="732">
        <v>45756</v>
      </c>
      <c r="F104" s="732">
        <v>45765</v>
      </c>
      <c r="G104" s="64" t="s">
        <v>1171</v>
      </c>
      <c r="H104" s="557">
        <f t="shared" si="6"/>
        <v>43.804423999999997</v>
      </c>
      <c r="I104" s="1006">
        <f t="shared" si="4"/>
        <v>4.0811880970015997</v>
      </c>
      <c r="J104" s="614" t="s">
        <v>1143</v>
      </c>
      <c r="K104" s="1007" t="s">
        <v>255</v>
      </c>
      <c r="L104" s="1007" t="s">
        <v>1658</v>
      </c>
    </row>
    <row r="105" spans="1:12" s="616" customFormat="1" ht="15.5">
      <c r="A105" s="611">
        <f t="shared" si="5"/>
        <v>101</v>
      </c>
      <c r="B105" s="611">
        <v>8</v>
      </c>
      <c r="C105" s="1005" t="s">
        <v>625</v>
      </c>
      <c r="D105" s="65" t="str">
        <f>IFERROR(VLOOKUP(C105,Foundation!$C$5:$D$554,2,0),"")</f>
        <v>DA+1.5</v>
      </c>
      <c r="E105" s="732">
        <v>45756</v>
      </c>
      <c r="F105" s="732">
        <v>45765</v>
      </c>
      <c r="G105" s="64" t="s">
        <v>1167</v>
      </c>
      <c r="H105" s="557">
        <f t="shared" si="6"/>
        <v>37.138323999999997</v>
      </c>
      <c r="I105" s="1006">
        <f t="shared" si="4"/>
        <v>3.4601182257615997</v>
      </c>
      <c r="J105" s="614" t="s">
        <v>1173</v>
      </c>
      <c r="K105" s="1007" t="s">
        <v>255</v>
      </c>
      <c r="L105" s="1007" t="s">
        <v>1658</v>
      </c>
    </row>
    <row r="106" spans="1:12" s="616" customFormat="1" ht="15.5">
      <c r="A106" s="611">
        <f t="shared" si="5"/>
        <v>102</v>
      </c>
      <c r="B106" s="611">
        <v>9</v>
      </c>
      <c r="C106" s="1005" t="s">
        <v>633</v>
      </c>
      <c r="D106" s="611" t="str">
        <f>IFERROR(VLOOKUP(C106,Foundation!$C$5:$D$554,2,0),"")</f>
        <v>DA+9</v>
      </c>
      <c r="E106" s="732">
        <v>45761</v>
      </c>
      <c r="F106" s="732">
        <v>45769</v>
      </c>
      <c r="G106" s="64" t="s">
        <v>1172</v>
      </c>
      <c r="H106" s="557">
        <f t="shared" si="6"/>
        <v>45.697022000000004</v>
      </c>
      <c r="I106" s="1006">
        <f t="shared" si="4"/>
        <v>4.2575184245048003</v>
      </c>
      <c r="J106" s="614" t="s">
        <v>1173</v>
      </c>
      <c r="K106" s="1007" t="s">
        <v>255</v>
      </c>
      <c r="L106" s="1007" t="s">
        <v>1658</v>
      </c>
    </row>
    <row r="107" spans="1:12" s="616" customFormat="1" ht="15.5">
      <c r="A107" s="611">
        <f t="shared" si="5"/>
        <v>103</v>
      </c>
      <c r="B107" s="611">
        <v>10</v>
      </c>
      <c r="C107" s="1005" t="s">
        <v>1071</v>
      </c>
      <c r="D107" s="611" t="str">
        <f>IFERROR(VLOOKUP(C107,Foundation!$C$5:$D$554,2,0),"")</f>
        <v>DB1+9</v>
      </c>
      <c r="E107" s="732">
        <v>45765</v>
      </c>
      <c r="F107" s="732">
        <v>45777</v>
      </c>
      <c r="G107" s="64" t="s">
        <v>1171</v>
      </c>
      <c r="H107" s="557">
        <f t="shared" si="6"/>
        <v>66.780901</v>
      </c>
      <c r="I107" s="1006">
        <f t="shared" si="4"/>
        <v>6.2218696967283993</v>
      </c>
      <c r="J107" s="614" t="s">
        <v>1143</v>
      </c>
      <c r="K107" s="1007" t="s">
        <v>255</v>
      </c>
      <c r="L107" s="1007" t="s">
        <v>1658</v>
      </c>
    </row>
    <row r="108" spans="1:12" s="616" customFormat="1" ht="15.5">
      <c r="A108" s="611">
        <f t="shared" si="5"/>
        <v>104</v>
      </c>
      <c r="B108" s="611">
        <v>11</v>
      </c>
      <c r="C108" s="1005" t="s">
        <v>74</v>
      </c>
      <c r="D108" s="65" t="str">
        <f>IFERROR(VLOOKUP(C108,Foundation!$C$5:$D$554,2,0),"")</f>
        <v>DB1+6</v>
      </c>
      <c r="E108" s="732">
        <v>45765</v>
      </c>
      <c r="F108" s="732">
        <v>45777</v>
      </c>
      <c r="G108" s="64" t="s">
        <v>1167</v>
      </c>
      <c r="H108" s="557">
        <f t="shared" si="6"/>
        <v>65.027778999999995</v>
      </c>
      <c r="I108" s="1006">
        <f t="shared" si="4"/>
        <v>6.0585341249835993</v>
      </c>
      <c r="J108" s="614" t="s">
        <v>1173</v>
      </c>
      <c r="K108" s="1007" t="s">
        <v>255</v>
      </c>
      <c r="L108" s="1007" t="s">
        <v>1658</v>
      </c>
    </row>
    <row r="109" spans="1:12" s="311" customFormat="1" ht="15.5">
      <c r="A109" s="611">
        <f t="shared" si="5"/>
        <v>105</v>
      </c>
      <c r="B109" s="65">
        <v>1</v>
      </c>
      <c r="C109" s="1005" t="s">
        <v>878</v>
      </c>
      <c r="D109" s="65" t="str">
        <f>IFERROR(VLOOKUP(C109,Foundation!$C$5:$D$554,2,0),"")</f>
        <v>DA+9</v>
      </c>
      <c r="E109" s="732">
        <v>45844</v>
      </c>
      <c r="F109" s="732">
        <v>45853</v>
      </c>
      <c r="G109" s="64" t="s">
        <v>1476</v>
      </c>
      <c r="H109" s="557">
        <f t="shared" si="6"/>
        <v>45.697022000000004</v>
      </c>
      <c r="I109" s="1006">
        <f t="shared" si="4"/>
        <v>4.2575184245048003</v>
      </c>
      <c r="J109" s="64" t="s">
        <v>662</v>
      </c>
      <c r="K109" s="1007" t="s">
        <v>255</v>
      </c>
      <c r="L109" s="1007" t="s">
        <v>1658</v>
      </c>
    </row>
    <row r="110" spans="1:12" s="311" customFormat="1" ht="15.5">
      <c r="A110" s="611">
        <f t="shared" si="5"/>
        <v>106</v>
      </c>
      <c r="B110" s="65">
        <v>2</v>
      </c>
      <c r="C110" s="1005" t="s">
        <v>66</v>
      </c>
      <c r="D110" s="65" t="str">
        <f>IFERROR(VLOOKUP(C110,Foundation!$C$5:$D$554,2,0),"")</f>
        <v>DA+6</v>
      </c>
      <c r="E110" s="732">
        <v>45843</v>
      </c>
      <c r="F110" s="732">
        <v>45855</v>
      </c>
      <c r="G110" s="64" t="s">
        <v>1475</v>
      </c>
      <c r="H110" s="557">
        <f t="shared" si="6"/>
        <v>43.804423999999997</v>
      </c>
      <c r="I110" s="773">
        <f t="shared" si="4"/>
        <v>4.0811880970015997</v>
      </c>
      <c r="J110" s="64" t="s">
        <v>1143</v>
      </c>
      <c r="K110" s="1007" t="s">
        <v>255</v>
      </c>
      <c r="L110" s="1007" t="s">
        <v>1658</v>
      </c>
    </row>
    <row r="111" spans="1:12" s="311" customFormat="1" ht="15.5">
      <c r="A111" s="611">
        <f t="shared" si="5"/>
        <v>107</v>
      </c>
      <c r="B111" s="65">
        <v>3</v>
      </c>
      <c r="C111" s="1005" t="s">
        <v>480</v>
      </c>
      <c r="D111" s="65" t="str">
        <f>IFERROR(VLOOKUP(C111,Foundation!$C$5:$D$554,2,0),"")</f>
        <v>DA+9</v>
      </c>
      <c r="E111" s="732">
        <v>45847</v>
      </c>
      <c r="F111" s="732">
        <v>45859</v>
      </c>
      <c r="G111" s="64" t="s">
        <v>1478</v>
      </c>
      <c r="H111" s="557">
        <f t="shared" si="6"/>
        <v>45.697022000000004</v>
      </c>
      <c r="I111" s="773">
        <f t="shared" si="4"/>
        <v>4.2575184245048003</v>
      </c>
      <c r="J111" s="64" t="s">
        <v>1150</v>
      </c>
      <c r="K111" s="1007" t="s">
        <v>255</v>
      </c>
      <c r="L111" s="1007" t="s">
        <v>1658</v>
      </c>
    </row>
    <row r="112" spans="1:12" s="311" customFormat="1" ht="15.5">
      <c r="A112" s="611">
        <f t="shared" si="5"/>
        <v>108</v>
      </c>
      <c r="B112" s="65">
        <v>4</v>
      </c>
      <c r="C112" s="1005" t="s">
        <v>877</v>
      </c>
      <c r="D112" s="65" t="str">
        <f>IFERROR(VLOOKUP(C112,Foundation!$C$5:$D$554,2,0),"")</f>
        <v>DA+9</v>
      </c>
      <c r="E112" s="732">
        <f>F109+1</f>
        <v>45854</v>
      </c>
      <c r="F112" s="732">
        <v>45863</v>
      </c>
      <c r="G112" s="64" t="s">
        <v>1476</v>
      </c>
      <c r="H112" s="557">
        <f t="shared" si="6"/>
        <v>45.697022000000004</v>
      </c>
      <c r="I112" s="773">
        <f t="shared" si="4"/>
        <v>4.2575184245048003</v>
      </c>
      <c r="J112" s="64" t="s">
        <v>662</v>
      </c>
      <c r="K112" s="1007" t="s">
        <v>255</v>
      </c>
      <c r="L112" s="1007" t="s">
        <v>1658</v>
      </c>
    </row>
    <row r="113" spans="1:12" s="311" customFormat="1" ht="15.5">
      <c r="A113" s="611">
        <f t="shared" si="5"/>
        <v>109</v>
      </c>
      <c r="B113" s="65">
        <v>5</v>
      </c>
      <c r="C113" s="1005" t="s">
        <v>259</v>
      </c>
      <c r="D113" s="65" t="str">
        <f>IFERROR(VLOOKUP(C113,Foundation!$C$5:$D$554,2,0),"")</f>
        <v>DA+9</v>
      </c>
      <c r="E113" s="732">
        <v>45854</v>
      </c>
      <c r="F113" s="732">
        <v>45864</v>
      </c>
      <c r="G113" s="64" t="s">
        <v>1487</v>
      </c>
      <c r="H113" s="557">
        <f t="shared" si="6"/>
        <v>45.697022000000004</v>
      </c>
      <c r="I113" s="773">
        <f t="shared" si="4"/>
        <v>4.2575184245048003</v>
      </c>
      <c r="J113" s="64" t="s">
        <v>1480</v>
      </c>
      <c r="K113" s="1010" t="s">
        <v>255</v>
      </c>
      <c r="L113" s="1007" t="s">
        <v>1658</v>
      </c>
    </row>
    <row r="114" spans="1:12" s="311" customFormat="1" ht="15.5">
      <c r="A114" s="611">
        <f t="shared" si="5"/>
        <v>110</v>
      </c>
      <c r="B114" s="65">
        <v>6</v>
      </c>
      <c r="C114" s="1005" t="s">
        <v>165</v>
      </c>
      <c r="D114" s="65" t="str">
        <f>IFERROR(VLOOKUP(C114,Foundation!$C$5:$D$554,2,0),"")</f>
        <v>DA+9</v>
      </c>
      <c r="E114" s="732">
        <f>F110+1</f>
        <v>45856</v>
      </c>
      <c r="F114" s="732">
        <v>45864</v>
      </c>
      <c r="G114" s="64" t="s">
        <v>1475</v>
      </c>
      <c r="H114" s="557">
        <f t="shared" si="6"/>
        <v>45.697022000000004</v>
      </c>
      <c r="I114" s="773">
        <f t="shared" si="4"/>
        <v>4.2575184245048003</v>
      </c>
      <c r="J114" s="64" t="s">
        <v>1094</v>
      </c>
      <c r="K114" s="1010" t="s">
        <v>255</v>
      </c>
      <c r="L114" s="1007" t="s">
        <v>1658</v>
      </c>
    </row>
    <row r="115" spans="1:12" s="616" customFormat="1" ht="15.5">
      <c r="A115" s="611">
        <f t="shared" si="5"/>
        <v>111</v>
      </c>
      <c r="B115" s="65">
        <v>7</v>
      </c>
      <c r="C115" s="1005" t="s">
        <v>261</v>
      </c>
      <c r="D115" s="65" t="str">
        <f>IFERROR(VLOOKUP(C115,Foundation!$C$5:$D$554,2,0),"")</f>
        <v>DB2+0</v>
      </c>
      <c r="E115" s="732">
        <f>F111+1</f>
        <v>45860</v>
      </c>
      <c r="F115" s="732">
        <v>45869</v>
      </c>
      <c r="G115" s="64" t="s">
        <v>1478</v>
      </c>
      <c r="H115" s="557">
        <f t="shared" si="6"/>
        <v>59.500627999999999</v>
      </c>
      <c r="I115" s="773">
        <f t="shared" si="4"/>
        <v>5.5435783097551994</v>
      </c>
      <c r="J115" s="64" t="s">
        <v>1150</v>
      </c>
      <c r="K115" s="1010" t="s">
        <v>255</v>
      </c>
      <c r="L115" s="1007" t="s">
        <v>1658</v>
      </c>
    </row>
    <row r="116" spans="1:12" s="616" customFormat="1" ht="15.5">
      <c r="A116" s="611">
        <f t="shared" si="5"/>
        <v>112</v>
      </c>
      <c r="B116" s="65">
        <v>8</v>
      </c>
      <c r="C116" s="1005" t="s">
        <v>879</v>
      </c>
      <c r="D116" s="65" t="str">
        <f>IFERROR(VLOOKUP(C116,Foundation!$C$5:$D$554,2,0),"")</f>
        <v>DA+3</v>
      </c>
      <c r="E116" s="732">
        <v>45864</v>
      </c>
      <c r="F116" s="732">
        <v>45869</v>
      </c>
      <c r="G116" s="64" t="s">
        <v>1476</v>
      </c>
      <c r="H116" s="557">
        <f t="shared" si="6"/>
        <v>37.931087999999995</v>
      </c>
      <c r="I116" s="773">
        <f t="shared" si="4"/>
        <v>3.5339787792191997</v>
      </c>
      <c r="J116" s="64" t="s">
        <v>662</v>
      </c>
      <c r="K116" s="1010" t="s">
        <v>255</v>
      </c>
      <c r="L116" s="1007" t="s">
        <v>1658</v>
      </c>
    </row>
    <row r="117" spans="1:12" s="311" customFormat="1" ht="15.5">
      <c r="A117" s="611">
        <f t="shared" si="5"/>
        <v>113</v>
      </c>
      <c r="B117" s="65">
        <v>1</v>
      </c>
      <c r="C117" s="1005" t="s">
        <v>9</v>
      </c>
      <c r="D117" s="65" t="str">
        <f>IFERROR(VLOOKUP(C117,Foundation!$C$5:$D$554,2,0),"")</f>
        <v>DB1+0</v>
      </c>
      <c r="E117" s="732">
        <v>45854</v>
      </c>
      <c r="F117" s="732">
        <v>45870</v>
      </c>
      <c r="G117" s="64" t="s">
        <v>1484</v>
      </c>
      <c r="H117" s="557">
        <f t="shared" si="6"/>
        <v>55.450851000000007</v>
      </c>
      <c r="I117" s="773">
        <f t="shared" si="4"/>
        <v>5.1662670663084009</v>
      </c>
      <c r="J117" s="64" t="s">
        <v>1173</v>
      </c>
      <c r="K117" s="1010" t="s">
        <v>255</v>
      </c>
      <c r="L117" s="1007" t="s">
        <v>1658</v>
      </c>
    </row>
    <row r="118" spans="1:12" s="311" customFormat="1" ht="15.5">
      <c r="A118" s="611">
        <f t="shared" si="5"/>
        <v>114</v>
      </c>
      <c r="B118" s="65">
        <v>2</v>
      </c>
      <c r="C118" s="1005" t="s">
        <v>77</v>
      </c>
      <c r="D118" s="65" t="str">
        <f>IFERROR(VLOOKUP(C118,Foundation!$C$5:$D$554,2,0),"")</f>
        <v>DB2+0</v>
      </c>
      <c r="E118" s="732">
        <v>45859</v>
      </c>
      <c r="F118" s="732">
        <v>45871</v>
      </c>
      <c r="G118" s="64" t="s">
        <v>1483</v>
      </c>
      <c r="H118" s="557">
        <f t="shared" si="6"/>
        <v>59.500627999999999</v>
      </c>
      <c r="I118" s="773">
        <f t="shared" si="4"/>
        <v>5.5435783097551994</v>
      </c>
      <c r="J118" s="64" t="s">
        <v>1485</v>
      </c>
      <c r="K118" s="1010" t="s">
        <v>255</v>
      </c>
      <c r="L118" s="1010" t="s">
        <v>1658</v>
      </c>
    </row>
    <row r="119" spans="1:12" s="311" customFormat="1" ht="15.5">
      <c r="A119" s="611">
        <f t="shared" si="5"/>
        <v>115</v>
      </c>
      <c r="B119" s="65">
        <v>3</v>
      </c>
      <c r="C119" s="1005" t="s">
        <v>402</v>
      </c>
      <c r="D119" s="65" t="str">
        <f>IFERROR(VLOOKUP(C119,Foundation!$C$5:$D$554,2,0),"")</f>
        <v>DA+9</v>
      </c>
      <c r="E119" s="732">
        <v>45853</v>
      </c>
      <c r="F119" s="732">
        <v>45872</v>
      </c>
      <c r="G119" s="64" t="s">
        <v>1487</v>
      </c>
      <c r="H119" s="557">
        <f t="shared" si="6"/>
        <v>45.697022000000004</v>
      </c>
      <c r="I119" s="773">
        <f t="shared" si="4"/>
        <v>4.2575184245048003</v>
      </c>
      <c r="J119" s="64" t="s">
        <v>1479</v>
      </c>
      <c r="K119" s="1010" t="s">
        <v>255</v>
      </c>
      <c r="L119" s="1007" t="s">
        <v>1658</v>
      </c>
    </row>
    <row r="120" spans="1:12" s="311" customFormat="1" ht="15.5">
      <c r="A120" s="611">
        <f t="shared" si="5"/>
        <v>116</v>
      </c>
      <c r="B120" s="65">
        <v>4</v>
      </c>
      <c r="C120" s="1005" t="s">
        <v>445</v>
      </c>
      <c r="D120" s="65" t="str">
        <f>IFERROR(VLOOKUP(C120,Foundation!$C$5:$D$554,2,0),"")</f>
        <v>DA+3</v>
      </c>
      <c r="E120" s="732">
        <v>45856</v>
      </c>
      <c r="F120" s="732">
        <v>45872</v>
      </c>
      <c r="G120" s="64" t="s">
        <v>1481</v>
      </c>
      <c r="H120" s="557">
        <f t="shared" si="6"/>
        <v>37.931087999999995</v>
      </c>
      <c r="I120" s="773">
        <f t="shared" si="4"/>
        <v>3.5339787792191997</v>
      </c>
      <c r="J120" s="64" t="s">
        <v>1173</v>
      </c>
      <c r="K120" s="1010" t="s">
        <v>255</v>
      </c>
      <c r="L120" s="1007" t="s">
        <v>1658</v>
      </c>
    </row>
    <row r="121" spans="1:12" s="311" customFormat="1" ht="15.5">
      <c r="A121" s="611">
        <f t="shared" si="5"/>
        <v>117</v>
      </c>
      <c r="B121" s="65">
        <v>5</v>
      </c>
      <c r="C121" s="1005" t="s">
        <v>875</v>
      </c>
      <c r="D121" s="65" t="str">
        <f>IFERROR(VLOOKUP(C121,Foundation!$C$5:$D$554,2,0),"")</f>
        <v>DA+6</v>
      </c>
      <c r="E121" s="732">
        <f>F114+1</f>
        <v>45865</v>
      </c>
      <c r="F121" s="732">
        <v>45874</v>
      </c>
      <c r="G121" s="64" t="s">
        <v>1475</v>
      </c>
      <c r="H121" s="557">
        <f t="shared" si="6"/>
        <v>43.804423999999997</v>
      </c>
      <c r="I121" s="773">
        <f t="shared" si="4"/>
        <v>4.0811880970015997</v>
      </c>
      <c r="J121" s="64" t="s">
        <v>1094</v>
      </c>
      <c r="K121" s="1010" t="s">
        <v>255</v>
      </c>
      <c r="L121" s="1007" t="s">
        <v>1658</v>
      </c>
    </row>
    <row r="122" spans="1:12" s="616" customFormat="1" ht="15.5">
      <c r="A122" s="611">
        <f t="shared" si="5"/>
        <v>118</v>
      </c>
      <c r="B122" s="65">
        <v>6</v>
      </c>
      <c r="C122" s="1005" t="s">
        <v>171</v>
      </c>
      <c r="D122" s="65" t="str">
        <f>IFERROR(VLOOKUP(C122,Foundation!$C$5:$D$554,2,0),"")</f>
        <v>DA+3</v>
      </c>
      <c r="E122" s="732">
        <f>F118</f>
        <v>45871</v>
      </c>
      <c r="F122" s="732">
        <v>45875</v>
      </c>
      <c r="G122" s="64" t="s">
        <v>1483</v>
      </c>
      <c r="H122" s="557">
        <f t="shared" si="6"/>
        <v>37.931087999999995</v>
      </c>
      <c r="I122" s="773">
        <f t="shared" si="4"/>
        <v>3.5339787792191997</v>
      </c>
      <c r="J122" s="64" t="s">
        <v>1485</v>
      </c>
      <c r="K122" s="1010" t="s">
        <v>255</v>
      </c>
      <c r="L122" s="1010" t="s">
        <v>1658</v>
      </c>
    </row>
    <row r="123" spans="1:12" s="311" customFormat="1" ht="15.5">
      <c r="A123" s="611">
        <f t="shared" si="5"/>
        <v>119</v>
      </c>
      <c r="B123" s="65">
        <v>7</v>
      </c>
      <c r="C123" s="1005" t="s">
        <v>206</v>
      </c>
      <c r="D123" s="65" t="str">
        <f>IFERROR(VLOOKUP(C123,Foundation!$C$5:$D$554,2,0),"")</f>
        <v>DA+9</v>
      </c>
      <c r="E123" s="732">
        <v>45844</v>
      </c>
      <c r="F123" s="732">
        <v>45876</v>
      </c>
      <c r="G123" s="64" t="s">
        <v>1477</v>
      </c>
      <c r="H123" s="557">
        <f t="shared" si="6"/>
        <v>45.697022000000004</v>
      </c>
      <c r="I123" s="773">
        <f t="shared" si="4"/>
        <v>4.2575184245048003</v>
      </c>
      <c r="J123" s="64" t="s">
        <v>1491</v>
      </c>
      <c r="K123" s="1010" t="s">
        <v>255</v>
      </c>
      <c r="L123" s="1007" t="s">
        <v>1658</v>
      </c>
    </row>
    <row r="124" spans="1:12" s="616" customFormat="1" ht="15.5">
      <c r="A124" s="611">
        <f t="shared" si="5"/>
        <v>120</v>
      </c>
      <c r="B124" s="65">
        <v>8</v>
      </c>
      <c r="C124" s="1005" t="s">
        <v>260</v>
      </c>
      <c r="D124" s="65" t="str">
        <f>IFERROR(VLOOKUP(C124,Foundation!$C$5:$D$554,2,0),"")</f>
        <v>DA+6</v>
      </c>
      <c r="E124" s="732">
        <f>F119+1</f>
        <v>45873</v>
      </c>
      <c r="F124" s="732">
        <v>45877</v>
      </c>
      <c r="G124" s="64" t="s">
        <v>1487</v>
      </c>
      <c r="H124" s="557">
        <f t="shared" si="6"/>
        <v>43.804423999999997</v>
      </c>
      <c r="I124" s="773">
        <f t="shared" si="4"/>
        <v>4.0811880970015997</v>
      </c>
      <c r="J124" s="64" t="s">
        <v>1150</v>
      </c>
      <c r="K124" s="1010" t="s">
        <v>255</v>
      </c>
      <c r="L124" s="1007" t="s">
        <v>1658</v>
      </c>
    </row>
    <row r="125" spans="1:12" s="616" customFormat="1" ht="15.5">
      <c r="A125" s="611">
        <f t="shared" si="5"/>
        <v>121</v>
      </c>
      <c r="B125" s="65">
        <v>9</v>
      </c>
      <c r="C125" s="1005" t="s">
        <v>775</v>
      </c>
      <c r="D125" s="65" t="str">
        <f>IFERROR(VLOOKUP(C125,Foundation!$C$5:$D$554,2,0),"")</f>
        <v>DB1+9</v>
      </c>
      <c r="E125" s="732">
        <f>F116+1</f>
        <v>45870</v>
      </c>
      <c r="F125" s="732">
        <v>45878</v>
      </c>
      <c r="G125" s="64" t="s">
        <v>1476</v>
      </c>
      <c r="H125" s="557">
        <f t="shared" si="6"/>
        <v>66.780901</v>
      </c>
      <c r="I125" s="773">
        <f t="shared" si="4"/>
        <v>6.2218696967283993</v>
      </c>
      <c r="J125" s="64" t="s">
        <v>1017</v>
      </c>
      <c r="K125" s="1010" t="s">
        <v>255</v>
      </c>
      <c r="L125" s="1007" t="s">
        <v>1658</v>
      </c>
    </row>
    <row r="126" spans="1:12" s="616" customFormat="1" ht="15.5">
      <c r="A126" s="611">
        <f t="shared" si="5"/>
        <v>122</v>
      </c>
      <c r="B126" s="65">
        <v>10</v>
      </c>
      <c r="C126" s="1005" t="s">
        <v>591</v>
      </c>
      <c r="D126" s="65" t="str">
        <f>IFERROR(VLOOKUP(C126,Foundation!$C$5:$D$554,2,0),"")</f>
        <v>DA+6</v>
      </c>
      <c r="E126" s="732">
        <f>F116+1</f>
        <v>45870</v>
      </c>
      <c r="F126" s="732">
        <v>45878</v>
      </c>
      <c r="G126" s="64" t="s">
        <v>1486</v>
      </c>
      <c r="H126" s="557">
        <f t="shared" si="6"/>
        <v>43.804423999999997</v>
      </c>
      <c r="I126" s="773">
        <f t="shared" si="4"/>
        <v>4.0811880970015997</v>
      </c>
      <c r="J126" s="64" t="s">
        <v>1479</v>
      </c>
      <c r="K126" s="1010" t="s">
        <v>255</v>
      </c>
      <c r="L126" s="1007" t="s">
        <v>1658</v>
      </c>
    </row>
    <row r="127" spans="1:12" s="616" customFormat="1" ht="15.5">
      <c r="A127" s="611">
        <f t="shared" si="5"/>
        <v>123</v>
      </c>
      <c r="B127" s="65">
        <v>11</v>
      </c>
      <c r="C127" s="1005" t="s">
        <v>492</v>
      </c>
      <c r="D127" s="65" t="str">
        <f>IFERROR(VLOOKUP(C127,Foundation!$C$5:$D$554,2,0),"")</f>
        <v>DA+1.5</v>
      </c>
      <c r="E127" s="732">
        <f>F115+1</f>
        <v>45870</v>
      </c>
      <c r="F127" s="732">
        <v>45878</v>
      </c>
      <c r="G127" s="64" t="s">
        <v>1489</v>
      </c>
      <c r="H127" s="557">
        <f t="shared" si="6"/>
        <v>37.138323999999997</v>
      </c>
      <c r="I127" s="773">
        <f t="shared" si="4"/>
        <v>3.4601182257615997</v>
      </c>
      <c r="J127" s="64" t="s">
        <v>1150</v>
      </c>
      <c r="K127" s="1010" t="s">
        <v>255</v>
      </c>
      <c r="L127" s="1007" t="s">
        <v>1658</v>
      </c>
    </row>
    <row r="128" spans="1:12" s="311" customFormat="1" ht="15.5">
      <c r="A128" s="611">
        <f t="shared" si="5"/>
        <v>124</v>
      </c>
      <c r="B128" s="65">
        <v>12</v>
      </c>
      <c r="C128" s="1005" t="s">
        <v>82</v>
      </c>
      <c r="D128" s="65" t="str">
        <f>IFERROR(VLOOKUP(C128,Foundation!$C$5:$D$554,2,0),"")</f>
        <v>DA+3</v>
      </c>
      <c r="E128" s="732">
        <f>F117+1</f>
        <v>45871</v>
      </c>
      <c r="F128" s="732">
        <v>45879</v>
      </c>
      <c r="G128" s="64" t="s">
        <v>1484</v>
      </c>
      <c r="H128" s="557">
        <f t="shared" si="6"/>
        <v>37.931087999999995</v>
      </c>
      <c r="I128" s="773">
        <f t="shared" si="4"/>
        <v>3.5339787792191997</v>
      </c>
      <c r="J128" s="64" t="s">
        <v>1173</v>
      </c>
      <c r="K128" s="1010" t="s">
        <v>255</v>
      </c>
      <c r="L128" s="1007" t="s">
        <v>1658</v>
      </c>
    </row>
    <row r="129" spans="1:15" s="616" customFormat="1" ht="15.5">
      <c r="A129" s="611">
        <f t="shared" si="5"/>
        <v>125</v>
      </c>
      <c r="B129" s="65">
        <v>13</v>
      </c>
      <c r="C129" s="1005" t="s">
        <v>163</v>
      </c>
      <c r="D129" s="65" t="str">
        <f>IFERROR(VLOOKUP(C129,Foundation!$C$5:$D$554,2,0),"")</f>
        <v>DA+1.5</v>
      </c>
      <c r="E129" s="732">
        <f>F120+1</f>
        <v>45873</v>
      </c>
      <c r="F129" s="732">
        <v>45880</v>
      </c>
      <c r="G129" s="64" t="s">
        <v>1481</v>
      </c>
      <c r="H129" s="557">
        <f t="shared" si="6"/>
        <v>37.138323999999997</v>
      </c>
      <c r="I129" s="773">
        <f t="shared" si="4"/>
        <v>3.4601182257615997</v>
      </c>
      <c r="J129" s="64" t="s">
        <v>1173</v>
      </c>
      <c r="K129" s="1010" t="s">
        <v>255</v>
      </c>
      <c r="L129" s="1007" t="s">
        <v>1658</v>
      </c>
    </row>
    <row r="130" spans="1:15" s="616" customFormat="1" ht="15.5">
      <c r="A130" s="611">
        <f t="shared" si="5"/>
        <v>126</v>
      </c>
      <c r="B130" s="65">
        <v>14</v>
      </c>
      <c r="C130" s="1005" t="s">
        <v>172</v>
      </c>
      <c r="D130" s="65" t="str">
        <f>IFERROR(VLOOKUP(C130,Foundation!$C$5:$D$554,2,0),"")</f>
        <v>DA+9</v>
      </c>
      <c r="E130" s="732">
        <f>F122+1</f>
        <v>45876</v>
      </c>
      <c r="F130" s="732">
        <v>45880</v>
      </c>
      <c r="G130" s="64" t="s">
        <v>1483</v>
      </c>
      <c r="H130" s="557">
        <f t="shared" si="6"/>
        <v>45.697022000000004</v>
      </c>
      <c r="I130" s="773">
        <f t="shared" si="4"/>
        <v>4.2575184245048003</v>
      </c>
      <c r="J130" s="64" t="s">
        <v>1485</v>
      </c>
      <c r="K130" s="1010" t="s">
        <v>255</v>
      </c>
      <c r="L130" s="1010" t="s">
        <v>1658</v>
      </c>
    </row>
    <row r="131" spans="1:15" s="311" customFormat="1" ht="15.5">
      <c r="A131" s="611">
        <f t="shared" si="5"/>
        <v>127</v>
      </c>
      <c r="B131" s="65">
        <v>15</v>
      </c>
      <c r="C131" s="1005" t="s">
        <v>636</v>
      </c>
      <c r="D131" s="65" t="str">
        <f>IFERROR(VLOOKUP(C131,Foundation!$C$5:$D$554,2,0),"")</f>
        <v>DA+9</v>
      </c>
      <c r="E131" s="732">
        <v>45870</v>
      </c>
      <c r="F131" s="732">
        <v>45882</v>
      </c>
      <c r="G131" s="64" t="s">
        <v>1488</v>
      </c>
      <c r="H131" s="557">
        <f t="shared" si="6"/>
        <v>45.697022000000004</v>
      </c>
      <c r="I131" s="773">
        <f t="shared" si="4"/>
        <v>4.2575184245048003</v>
      </c>
      <c r="J131" s="64" t="s">
        <v>1485</v>
      </c>
      <c r="K131" s="1010" t="s">
        <v>255</v>
      </c>
      <c r="L131" s="1007" t="s">
        <v>1658</v>
      </c>
    </row>
    <row r="132" spans="1:15" s="311" customFormat="1" ht="15.5">
      <c r="A132" s="611">
        <f t="shared" si="5"/>
        <v>128</v>
      </c>
      <c r="B132" s="65">
        <v>16</v>
      </c>
      <c r="C132" s="1005" t="s">
        <v>471</v>
      </c>
      <c r="D132" s="65" t="str">
        <f>IFERROR(VLOOKUP(C132,Foundation!$C$5:$D$554,2,0),"")</f>
        <v>DA+9</v>
      </c>
      <c r="E132" s="732">
        <v>45871</v>
      </c>
      <c r="F132" s="732">
        <v>45882</v>
      </c>
      <c r="G132" s="64" t="s">
        <v>1490</v>
      </c>
      <c r="H132" s="557">
        <f t="shared" si="6"/>
        <v>45.697022000000004</v>
      </c>
      <c r="I132" s="773">
        <f t="shared" si="4"/>
        <v>4.2575184245048003</v>
      </c>
      <c r="J132" s="64" t="s">
        <v>1150</v>
      </c>
      <c r="K132" s="1010" t="s">
        <v>255</v>
      </c>
      <c r="L132" s="1007" t="s">
        <v>1658</v>
      </c>
    </row>
    <row r="133" spans="1:15" s="311" customFormat="1" ht="15.5">
      <c r="A133" s="611">
        <f t="shared" si="5"/>
        <v>129</v>
      </c>
      <c r="B133" s="65">
        <v>17</v>
      </c>
      <c r="C133" s="1005" t="s">
        <v>876</v>
      </c>
      <c r="D133" s="65" t="str">
        <f>IFERROR(VLOOKUP(C133,Foundation!$C$5:$D$554,2,0),"")</f>
        <v>DA+9</v>
      </c>
      <c r="E133" s="732">
        <f>F121+2</f>
        <v>45876</v>
      </c>
      <c r="F133" s="732">
        <v>45883</v>
      </c>
      <c r="G133" s="64" t="s">
        <v>1475</v>
      </c>
      <c r="H133" s="557">
        <f t="shared" si="6"/>
        <v>45.697022000000004</v>
      </c>
      <c r="I133" s="773">
        <f t="shared" ref="I133:I196" si="7">IFERROR(VLOOKUP(D133,$D$316:$K$345,8,0)/10^5,"")</f>
        <v>4.2575184245048003</v>
      </c>
      <c r="J133" s="64" t="s">
        <v>1094</v>
      </c>
      <c r="K133" s="1010" t="s">
        <v>255</v>
      </c>
      <c r="L133" s="1007" t="s">
        <v>1658</v>
      </c>
    </row>
    <row r="134" spans="1:15" s="311" customFormat="1" ht="15.5">
      <c r="A134" s="611">
        <f t="shared" ref="A134:A197" si="8">A133+1</f>
        <v>130</v>
      </c>
      <c r="B134" s="65">
        <v>18</v>
      </c>
      <c r="C134" s="1005" t="s">
        <v>469</v>
      </c>
      <c r="D134" s="65" t="str">
        <f>IFERROR(VLOOKUP(C134,Foundation!$C$5:$D$554,2,0),"")</f>
        <v>DA+3</v>
      </c>
      <c r="E134" s="732">
        <f>F124</f>
        <v>45877</v>
      </c>
      <c r="F134" s="732">
        <v>45883</v>
      </c>
      <c r="G134" s="64" t="s">
        <v>1487</v>
      </c>
      <c r="H134" s="557">
        <f t="shared" si="6"/>
        <v>37.931087999999995</v>
      </c>
      <c r="I134" s="773">
        <f t="shared" si="7"/>
        <v>3.5339787792191997</v>
      </c>
      <c r="J134" s="64" t="s">
        <v>1150</v>
      </c>
      <c r="K134" s="1010" t="s">
        <v>255</v>
      </c>
      <c r="L134" s="1007" t="s">
        <v>1658</v>
      </c>
    </row>
    <row r="135" spans="1:15" s="311" customFormat="1" ht="15.5">
      <c r="A135" s="611">
        <f t="shared" si="8"/>
        <v>131</v>
      </c>
      <c r="B135" s="65">
        <v>19</v>
      </c>
      <c r="C135" s="1005" t="s">
        <v>484</v>
      </c>
      <c r="D135" s="65" t="str">
        <f>IFERROR(VLOOKUP(C135,Foundation!$C$5:$D$554,2,0),"")</f>
        <v>DB1+12</v>
      </c>
      <c r="E135" s="732">
        <v>45876</v>
      </c>
      <c r="F135" s="732">
        <v>45883</v>
      </c>
      <c r="G135" s="64" t="s">
        <v>1497</v>
      </c>
      <c r="H135" s="557">
        <f t="shared" si="6"/>
        <v>70.788264999999996</v>
      </c>
      <c r="I135" s="773">
        <f t="shared" si="7"/>
        <v>6.5952293888259996</v>
      </c>
      <c r="J135" s="64" t="s">
        <v>1150</v>
      </c>
      <c r="K135" s="1010" t="s">
        <v>255</v>
      </c>
      <c r="L135" s="1007" t="s">
        <v>1658</v>
      </c>
    </row>
    <row r="136" spans="1:15" s="311" customFormat="1" ht="15.5">
      <c r="A136" s="611">
        <f t="shared" si="8"/>
        <v>132</v>
      </c>
      <c r="B136" s="65">
        <v>20</v>
      </c>
      <c r="C136" s="1005" t="s">
        <v>69</v>
      </c>
      <c r="D136" s="65" t="str">
        <f>IFERROR(VLOOKUP(C136,Foundation!$C$5:$D$554,2,0),"")</f>
        <v>DA+9</v>
      </c>
      <c r="E136" s="732">
        <f>F125</f>
        <v>45878</v>
      </c>
      <c r="F136" s="732">
        <v>45886</v>
      </c>
      <c r="G136" s="64" t="s">
        <v>1498</v>
      </c>
      <c r="H136" s="557">
        <f t="shared" si="6"/>
        <v>45.697022000000004</v>
      </c>
      <c r="I136" s="773">
        <f t="shared" si="7"/>
        <v>4.2575184245048003</v>
      </c>
      <c r="J136" s="64" t="s">
        <v>1017</v>
      </c>
      <c r="K136" s="1010" t="s">
        <v>255</v>
      </c>
      <c r="L136" s="1007" t="s">
        <v>1658</v>
      </c>
    </row>
    <row r="137" spans="1:15" s="311" customFormat="1" ht="15.5">
      <c r="A137" s="611">
        <f t="shared" si="8"/>
        <v>133</v>
      </c>
      <c r="B137" s="65">
        <v>21</v>
      </c>
      <c r="C137" s="1005" t="s">
        <v>476</v>
      </c>
      <c r="D137" s="65" t="str">
        <f>IFERROR(VLOOKUP(C137,Foundation!$C$5:$D$554,2,0),"")</f>
        <v>DA+1.5</v>
      </c>
      <c r="E137" s="732">
        <f>F127</f>
        <v>45878</v>
      </c>
      <c r="F137" s="732">
        <v>45887</v>
      </c>
      <c r="G137" s="64" t="s">
        <v>1489</v>
      </c>
      <c r="H137" s="557">
        <f t="shared" si="6"/>
        <v>37.138323999999997</v>
      </c>
      <c r="I137" s="773">
        <f t="shared" si="7"/>
        <v>3.4601182257615997</v>
      </c>
      <c r="J137" s="64" t="s">
        <v>1150</v>
      </c>
      <c r="K137" s="1010" t="s">
        <v>255</v>
      </c>
      <c r="L137" s="1007" t="s">
        <v>1658</v>
      </c>
    </row>
    <row r="138" spans="1:15" s="311" customFormat="1" ht="15.5">
      <c r="A138" s="611">
        <f t="shared" si="8"/>
        <v>134</v>
      </c>
      <c r="B138" s="65">
        <v>22</v>
      </c>
      <c r="C138" s="1005" t="s">
        <v>371</v>
      </c>
      <c r="D138" s="65" t="str">
        <f>IFERROR(VLOOKUP(C138,Foundation!$C$5:$D$554,2,0),"")</f>
        <v>DA+3</v>
      </c>
      <c r="E138" s="732">
        <f>F135+1</f>
        <v>45884</v>
      </c>
      <c r="F138" s="732">
        <v>45888</v>
      </c>
      <c r="G138" s="64" t="s">
        <v>1497</v>
      </c>
      <c r="H138" s="557">
        <f t="shared" si="6"/>
        <v>37.931087999999995</v>
      </c>
      <c r="I138" s="773">
        <f t="shared" si="7"/>
        <v>3.5339787792191997</v>
      </c>
      <c r="J138" s="64" t="s">
        <v>1500</v>
      </c>
      <c r="K138" s="1010" t="s">
        <v>255</v>
      </c>
      <c r="L138" s="1007" t="s">
        <v>1658</v>
      </c>
    </row>
    <row r="139" spans="1:15" s="311" customFormat="1" ht="15.5">
      <c r="A139" s="611">
        <f t="shared" si="8"/>
        <v>135</v>
      </c>
      <c r="B139" s="65">
        <v>23</v>
      </c>
      <c r="C139" s="1005" t="s">
        <v>1790</v>
      </c>
      <c r="D139" s="65" t="str">
        <f>IFERROR(VLOOKUP(C139,Foundation!$C$5:$D$554,2,0),"")</f>
        <v>DB1+9</v>
      </c>
      <c r="E139" s="732">
        <f>F130+1</f>
        <v>45881</v>
      </c>
      <c r="F139" s="732">
        <v>45888</v>
      </c>
      <c r="G139" s="64" t="s">
        <v>1483</v>
      </c>
      <c r="H139" s="557">
        <f t="shared" si="6"/>
        <v>66.780901</v>
      </c>
      <c r="I139" s="773">
        <f t="shared" si="7"/>
        <v>6.2218696967283993</v>
      </c>
      <c r="J139" s="64" t="s">
        <v>1485</v>
      </c>
      <c r="K139" s="1010" t="s">
        <v>255</v>
      </c>
      <c r="L139" s="1007" t="s">
        <v>1658</v>
      </c>
      <c r="O139" s="311" t="s">
        <v>1792</v>
      </c>
    </row>
    <row r="140" spans="1:15" s="311" customFormat="1" ht="15.5">
      <c r="A140" s="611">
        <f t="shared" si="8"/>
        <v>136</v>
      </c>
      <c r="B140" s="65">
        <v>24</v>
      </c>
      <c r="C140" s="1005" t="s">
        <v>464</v>
      </c>
      <c r="D140" s="65" t="str">
        <f>IFERROR(VLOOKUP(C140,Foundation!$C$5:$D$554,2,0),"")</f>
        <v>DA+3</v>
      </c>
      <c r="E140" s="732">
        <v>45877</v>
      </c>
      <c r="F140" s="732">
        <v>45889</v>
      </c>
      <c r="G140" s="64" t="s">
        <v>1494</v>
      </c>
      <c r="H140" s="557">
        <f t="shared" si="6"/>
        <v>37.931087999999995</v>
      </c>
      <c r="I140" s="773">
        <f t="shared" si="7"/>
        <v>3.5339787792191997</v>
      </c>
      <c r="J140" s="64" t="s">
        <v>1503</v>
      </c>
      <c r="K140" s="1010" t="s">
        <v>255</v>
      </c>
      <c r="L140" s="1007" t="s">
        <v>1658</v>
      </c>
    </row>
    <row r="141" spans="1:15" s="311" customFormat="1" ht="15.5">
      <c r="A141" s="611">
        <f t="shared" si="8"/>
        <v>137</v>
      </c>
      <c r="B141" s="65">
        <v>25</v>
      </c>
      <c r="C141" s="1005" t="s">
        <v>634</v>
      </c>
      <c r="D141" s="65" t="str">
        <f>IFERROR(VLOOKUP(C141,Foundation!$C$5:$D$554,2,0),"")</f>
        <v>DA+3</v>
      </c>
      <c r="E141" s="732">
        <f>F131+1</f>
        <v>45883</v>
      </c>
      <c r="F141" s="732">
        <v>45889</v>
      </c>
      <c r="G141" s="64" t="s">
        <v>1488</v>
      </c>
      <c r="H141" s="557">
        <f t="shared" si="6"/>
        <v>37.931087999999995</v>
      </c>
      <c r="I141" s="773">
        <f t="shared" si="7"/>
        <v>3.5339787792191997</v>
      </c>
      <c r="J141" s="64" t="s">
        <v>1491</v>
      </c>
      <c r="K141" s="1010" t="s">
        <v>255</v>
      </c>
      <c r="L141" s="1007" t="s">
        <v>1658</v>
      </c>
    </row>
    <row r="142" spans="1:15" s="616" customFormat="1" ht="15.5">
      <c r="A142" s="611">
        <f t="shared" si="8"/>
        <v>138</v>
      </c>
      <c r="B142" s="65">
        <v>26</v>
      </c>
      <c r="C142" s="1005" t="s">
        <v>268</v>
      </c>
      <c r="D142" s="65" t="str">
        <f>IFERROR(VLOOKUP(C142,Foundation!$C$5:$D$554,2,0),"")</f>
        <v>DD60+0</v>
      </c>
      <c r="E142" s="732">
        <v>45876</v>
      </c>
      <c r="F142" s="732">
        <v>45890</v>
      </c>
      <c r="G142" s="64" t="s">
        <v>1493</v>
      </c>
      <c r="H142" s="557">
        <f t="shared" si="6"/>
        <v>83.133526000000003</v>
      </c>
      <c r="I142" s="773">
        <f t="shared" si="7"/>
        <v>7.7454176037784004</v>
      </c>
      <c r="J142" s="64" t="s">
        <v>1495</v>
      </c>
      <c r="K142" s="1010" t="s">
        <v>255</v>
      </c>
      <c r="L142" s="1007" t="s">
        <v>1658</v>
      </c>
    </row>
    <row r="143" spans="1:15" s="311" customFormat="1" ht="15.5">
      <c r="A143" s="611">
        <f t="shared" si="8"/>
        <v>139</v>
      </c>
      <c r="B143" s="65">
        <v>27</v>
      </c>
      <c r="C143" s="1005" t="s">
        <v>258</v>
      </c>
      <c r="D143" s="65" t="str">
        <f>IFERROR(VLOOKUP(C143,Foundation!$C$5:$D$554,2,0),"")</f>
        <v>DB1+9</v>
      </c>
      <c r="E143" s="732">
        <v>45882</v>
      </c>
      <c r="F143" s="732">
        <v>45890</v>
      </c>
      <c r="G143" s="64" t="s">
        <v>1486</v>
      </c>
      <c r="H143" s="557">
        <f t="shared" si="6"/>
        <v>66.780901</v>
      </c>
      <c r="I143" s="773">
        <f t="shared" si="7"/>
        <v>6.2218696967283993</v>
      </c>
      <c r="J143" s="64" t="s">
        <v>1479</v>
      </c>
      <c r="K143" s="1010" t="s">
        <v>255</v>
      </c>
      <c r="L143" s="1007" t="s">
        <v>1658</v>
      </c>
    </row>
    <row r="144" spans="1:15" s="311" customFormat="1" ht="15.5">
      <c r="A144" s="611">
        <f t="shared" si="8"/>
        <v>140</v>
      </c>
      <c r="B144" s="65">
        <v>28</v>
      </c>
      <c r="C144" s="1005" t="s">
        <v>472</v>
      </c>
      <c r="D144" s="65" t="str">
        <f>IFERROR(VLOOKUP(C144,Foundation!$C$5:$D$554,2,0),"")</f>
        <v>DA-3</v>
      </c>
      <c r="E144" s="732">
        <f>F132+1</f>
        <v>45883</v>
      </c>
      <c r="F144" s="732">
        <v>45890</v>
      </c>
      <c r="G144" s="64" t="s">
        <v>1490</v>
      </c>
      <c r="H144" s="557">
        <f t="shared" si="6"/>
        <v>34.789810000000003</v>
      </c>
      <c r="I144" s="773">
        <f t="shared" si="7"/>
        <v>3.2413109340040003</v>
      </c>
      <c r="J144" s="64" t="s">
        <v>1501</v>
      </c>
      <c r="K144" s="1010" t="s">
        <v>255</v>
      </c>
      <c r="L144" s="1007" t="s">
        <v>1658</v>
      </c>
    </row>
    <row r="145" spans="1:14" s="311" customFormat="1" ht="15.5">
      <c r="A145" s="611">
        <f t="shared" si="8"/>
        <v>141</v>
      </c>
      <c r="B145" s="65">
        <v>29</v>
      </c>
      <c r="C145" s="1005" t="s">
        <v>470</v>
      </c>
      <c r="D145" s="65" t="str">
        <f>IFERROR(VLOOKUP(C145,Foundation!$C$5:$D$554,2,0),"")</f>
        <v>DA+9</v>
      </c>
      <c r="E145" s="732">
        <f>F134+1</f>
        <v>45884</v>
      </c>
      <c r="F145" s="732">
        <v>45890</v>
      </c>
      <c r="G145" s="64" t="s">
        <v>1487</v>
      </c>
      <c r="H145" s="557">
        <f t="shared" si="6"/>
        <v>45.697022000000004</v>
      </c>
      <c r="I145" s="773">
        <f t="shared" si="7"/>
        <v>4.2575184245048003</v>
      </c>
      <c r="J145" s="64"/>
      <c r="K145" s="1010" t="s">
        <v>255</v>
      </c>
      <c r="L145" s="1007" t="s">
        <v>1658</v>
      </c>
    </row>
    <row r="146" spans="1:14" s="311" customFormat="1" ht="15.5">
      <c r="A146" s="611">
        <f t="shared" si="8"/>
        <v>142</v>
      </c>
      <c r="B146" s="65">
        <v>30</v>
      </c>
      <c r="C146" s="1005" t="s">
        <v>444</v>
      </c>
      <c r="D146" s="65" t="str">
        <f>IFERROR(VLOOKUP(C146,Foundation!$C$5:$D$554,2,0),"")</f>
        <v>DA-3</v>
      </c>
      <c r="E146" s="732">
        <f>F130+1</f>
        <v>45881</v>
      </c>
      <c r="F146" s="732">
        <v>45890</v>
      </c>
      <c r="G146" s="64" t="s">
        <v>1481</v>
      </c>
      <c r="H146" s="557">
        <f t="shared" si="6"/>
        <v>34.789810000000003</v>
      </c>
      <c r="I146" s="773">
        <f t="shared" si="7"/>
        <v>3.2413109340040003</v>
      </c>
      <c r="J146" s="64" t="s">
        <v>1173</v>
      </c>
      <c r="K146" s="1010" t="s">
        <v>255</v>
      </c>
      <c r="L146" s="1007" t="s">
        <v>1658</v>
      </c>
    </row>
    <row r="147" spans="1:14" s="311" customFormat="1" ht="15.5">
      <c r="A147" s="611">
        <f t="shared" si="8"/>
        <v>143</v>
      </c>
      <c r="B147" s="65">
        <v>31</v>
      </c>
      <c r="C147" s="1005" t="s">
        <v>164</v>
      </c>
      <c r="D147" s="65" t="str">
        <f>IFERROR(VLOOKUP(C147,Foundation!$C$5:$D$554,2,0),"")</f>
        <v>DA+3</v>
      </c>
      <c r="E147" s="732">
        <f>F129+1</f>
        <v>45881</v>
      </c>
      <c r="F147" s="732">
        <v>45891</v>
      </c>
      <c r="G147" s="64" t="s">
        <v>1484</v>
      </c>
      <c r="H147" s="557">
        <f t="shared" si="6"/>
        <v>37.931087999999995</v>
      </c>
      <c r="I147" s="773">
        <f t="shared" si="7"/>
        <v>3.5339787792191997</v>
      </c>
      <c r="J147" s="64" t="s">
        <v>1502</v>
      </c>
      <c r="K147" s="1010" t="s">
        <v>255</v>
      </c>
      <c r="L147" s="1007" t="s">
        <v>1658</v>
      </c>
    </row>
    <row r="148" spans="1:14" s="311" customFormat="1" ht="15.5">
      <c r="A148" s="611">
        <f t="shared" si="8"/>
        <v>144</v>
      </c>
      <c r="B148" s="65">
        <v>32</v>
      </c>
      <c r="C148" s="1005" t="s">
        <v>575</v>
      </c>
      <c r="D148" s="65" t="str">
        <f>IFERROR(VLOOKUP(C148,Foundation!$C$5:$D$554,2,0),"")</f>
        <v>DA+1.5</v>
      </c>
      <c r="E148" s="732">
        <f>F136+1</f>
        <v>45887</v>
      </c>
      <c r="F148" s="732">
        <v>45891</v>
      </c>
      <c r="G148" s="64" t="s">
        <v>1498</v>
      </c>
      <c r="H148" s="557">
        <f t="shared" si="6"/>
        <v>37.138323999999997</v>
      </c>
      <c r="I148" s="773">
        <f t="shared" si="7"/>
        <v>3.4601182257615997</v>
      </c>
      <c r="J148" s="64" t="s">
        <v>1017</v>
      </c>
      <c r="K148" s="1010" t="s">
        <v>255</v>
      </c>
      <c r="L148" s="1007" t="s">
        <v>1658</v>
      </c>
    </row>
    <row r="149" spans="1:14" s="311" customFormat="1" ht="15.5">
      <c r="A149" s="611">
        <f t="shared" si="8"/>
        <v>145</v>
      </c>
      <c r="B149" s="65">
        <v>33</v>
      </c>
      <c r="C149" s="1005" t="s">
        <v>477</v>
      </c>
      <c r="D149" s="65" t="str">
        <f>IFERROR(VLOOKUP(C149,Foundation!$C$5:$D$554,2,0),"")</f>
        <v>DA-1.5</v>
      </c>
      <c r="E149" s="732">
        <v>45888</v>
      </c>
      <c r="F149" s="732">
        <v>45894</v>
      </c>
      <c r="G149" s="64" t="s">
        <v>1489</v>
      </c>
      <c r="H149" s="557">
        <f t="shared" si="6"/>
        <v>35.601761999999994</v>
      </c>
      <c r="I149" s="773">
        <f t="shared" si="7"/>
        <v>3.3169592027207995</v>
      </c>
      <c r="J149" s="64" t="s">
        <v>1150</v>
      </c>
      <c r="K149" s="1010" t="s">
        <v>255</v>
      </c>
      <c r="L149" s="1007" t="s">
        <v>1658</v>
      </c>
    </row>
    <row r="150" spans="1:14" s="311" customFormat="1" ht="15.5">
      <c r="A150" s="611">
        <f t="shared" si="8"/>
        <v>146</v>
      </c>
      <c r="B150" s="65">
        <v>34</v>
      </c>
      <c r="C150" s="1005" t="s">
        <v>372</v>
      </c>
      <c r="D150" s="65" t="str">
        <f>IFERROR(VLOOKUP(C150,Foundation!$C$5:$D$554,2,0),"")</f>
        <v>DA+3</v>
      </c>
      <c r="E150" s="732">
        <f>F138+1</f>
        <v>45889</v>
      </c>
      <c r="F150" s="732">
        <v>45894</v>
      </c>
      <c r="G150" s="64" t="s">
        <v>1497</v>
      </c>
      <c r="H150" s="557">
        <f t="shared" si="6"/>
        <v>37.931087999999995</v>
      </c>
      <c r="I150" s="773">
        <f t="shared" si="7"/>
        <v>3.5339787792191997</v>
      </c>
      <c r="J150" s="64" t="s">
        <v>1500</v>
      </c>
      <c r="K150" s="1010" t="s">
        <v>255</v>
      </c>
      <c r="L150" s="1007" t="s">
        <v>1658</v>
      </c>
    </row>
    <row r="151" spans="1:14" s="311" customFormat="1" ht="15.5">
      <c r="A151" s="611">
        <f t="shared" si="8"/>
        <v>147</v>
      </c>
      <c r="B151" s="65">
        <v>35</v>
      </c>
      <c r="C151" s="1005" t="s">
        <v>645</v>
      </c>
      <c r="D151" s="65" t="str">
        <f>IFERROR(VLOOKUP(C151,Foundation!$C$5:$D$554,2,0),"")</f>
        <v>DA+6</v>
      </c>
      <c r="E151" s="732">
        <f>F139+1</f>
        <v>45889</v>
      </c>
      <c r="F151" s="732">
        <v>45894</v>
      </c>
      <c r="G151" s="64" t="s">
        <v>1483</v>
      </c>
      <c r="H151" s="557">
        <f t="shared" si="6"/>
        <v>43.804423999999997</v>
      </c>
      <c r="I151" s="773">
        <f t="shared" si="7"/>
        <v>4.0811880970015997</v>
      </c>
      <c r="J151" s="64" t="s">
        <v>1485</v>
      </c>
      <c r="K151" s="1010" t="s">
        <v>255</v>
      </c>
      <c r="L151" s="1007" t="s">
        <v>1658</v>
      </c>
    </row>
    <row r="152" spans="1:14" s="311" customFormat="1" ht="15.5">
      <c r="A152" s="611">
        <f t="shared" si="8"/>
        <v>148</v>
      </c>
      <c r="B152" s="65">
        <v>36</v>
      </c>
      <c r="C152" s="1005" t="s">
        <v>452</v>
      </c>
      <c r="D152" s="65" t="str">
        <f>IFERROR(VLOOKUP(C152,Foundation!$C$5:$D$554,2,0),"")</f>
        <v>DA+4.5</v>
      </c>
      <c r="E152" s="732">
        <f>F133+1</f>
        <v>45884</v>
      </c>
      <c r="F152" s="732">
        <v>45894</v>
      </c>
      <c r="G152" s="64" t="s">
        <v>1475</v>
      </c>
      <c r="H152" s="557">
        <f t="shared" si="6"/>
        <v>42.921818999999999</v>
      </c>
      <c r="I152" s="773">
        <f t="shared" si="7"/>
        <v>3.9989572013196</v>
      </c>
      <c r="J152" s="64" t="s">
        <v>1094</v>
      </c>
      <c r="K152" s="1010" t="s">
        <v>255</v>
      </c>
      <c r="L152" s="1007" t="s">
        <v>1658</v>
      </c>
    </row>
    <row r="153" spans="1:14" s="311" customFormat="1" ht="15.5">
      <c r="A153" s="611">
        <f t="shared" si="8"/>
        <v>149</v>
      </c>
      <c r="B153" s="65">
        <v>37</v>
      </c>
      <c r="C153" s="1005" t="s">
        <v>1252</v>
      </c>
      <c r="D153" s="65" t="str">
        <f>IFERROR(VLOOKUP(C153,Foundation!$C$5:$D$554,2,0),"")</f>
        <v>DA+0</v>
      </c>
      <c r="E153" s="732">
        <v>45890</v>
      </c>
      <c r="F153" s="732">
        <v>45896</v>
      </c>
      <c r="G153" s="64" t="s">
        <v>1493</v>
      </c>
      <c r="H153" s="557">
        <f t="shared" si="6"/>
        <v>36.159755999999994</v>
      </c>
      <c r="I153" s="773">
        <f t="shared" si="7"/>
        <v>3.3689466109103994</v>
      </c>
      <c r="J153" s="64" t="s">
        <v>1495</v>
      </c>
      <c r="K153" s="1010" t="s">
        <v>255</v>
      </c>
      <c r="L153" s="1007" t="s">
        <v>1658</v>
      </c>
    </row>
    <row r="154" spans="1:14" s="311" customFormat="1" ht="15.5">
      <c r="A154" s="611">
        <f t="shared" si="8"/>
        <v>150</v>
      </c>
      <c r="B154" s="65">
        <v>38</v>
      </c>
      <c r="C154" s="1005" t="s">
        <v>896</v>
      </c>
      <c r="D154" s="65" t="str">
        <f>IFERROR(VLOOKUP(C154,Foundation!$C$5:$D$554,2,0),"")</f>
        <v>DA+6</v>
      </c>
      <c r="E154" s="732">
        <v>45887</v>
      </c>
      <c r="F154" s="732">
        <v>45897</v>
      </c>
      <c r="G154" s="64" t="s">
        <v>1525</v>
      </c>
      <c r="H154" s="557">
        <f t="shared" si="6"/>
        <v>43.804423999999997</v>
      </c>
      <c r="I154" s="773">
        <f t="shared" si="7"/>
        <v>4.0811880970015997</v>
      </c>
      <c r="J154" s="64" t="s">
        <v>1480</v>
      </c>
      <c r="K154" s="1010" t="s">
        <v>255</v>
      </c>
      <c r="L154" s="1007" t="s">
        <v>1658</v>
      </c>
    </row>
    <row r="155" spans="1:14" s="311" customFormat="1" ht="15.5">
      <c r="A155" s="611">
        <f t="shared" si="8"/>
        <v>151</v>
      </c>
      <c r="B155" s="65">
        <v>39</v>
      </c>
      <c r="C155" s="1005" t="s">
        <v>463</v>
      </c>
      <c r="D155" s="65" t="str">
        <f>IFERROR(VLOOKUP(C155,Foundation!$C$5:$D$554,2,0),"")</f>
        <v>DA+6</v>
      </c>
      <c r="E155" s="732">
        <f>F140</f>
        <v>45889</v>
      </c>
      <c r="F155" s="732">
        <v>45897</v>
      </c>
      <c r="G155" s="64" t="s">
        <v>1494</v>
      </c>
      <c r="H155" s="557">
        <f t="shared" si="6"/>
        <v>43.804423999999997</v>
      </c>
      <c r="I155" s="773">
        <f t="shared" si="7"/>
        <v>4.0811880970015997</v>
      </c>
      <c r="J155" s="64" t="s">
        <v>1503</v>
      </c>
      <c r="K155" s="1010" t="s">
        <v>255</v>
      </c>
      <c r="L155" s="1007" t="s">
        <v>1658</v>
      </c>
    </row>
    <row r="156" spans="1:14" s="311" customFormat="1" ht="15.5">
      <c r="A156" s="611">
        <f t="shared" si="8"/>
        <v>152</v>
      </c>
      <c r="B156" s="65">
        <v>40</v>
      </c>
      <c r="C156" s="1005" t="s">
        <v>473</v>
      </c>
      <c r="D156" s="65" t="str">
        <f>IFERROR(VLOOKUP(C156,Foundation!$C$5:$D$554,2,0),"")</f>
        <v>DA+1.5</v>
      </c>
      <c r="E156" s="732">
        <f>F143+1</f>
        <v>45891</v>
      </c>
      <c r="F156" s="732">
        <v>45897</v>
      </c>
      <c r="G156" s="64" t="s">
        <v>1490</v>
      </c>
      <c r="H156" s="557">
        <f t="shared" si="6"/>
        <v>37.138323999999997</v>
      </c>
      <c r="I156" s="773">
        <f t="shared" si="7"/>
        <v>3.4601182257615997</v>
      </c>
      <c r="J156" s="64" t="s">
        <v>1501</v>
      </c>
      <c r="K156" s="1010" t="s">
        <v>255</v>
      </c>
      <c r="L156" s="1007" t="s">
        <v>1658</v>
      </c>
    </row>
    <row r="157" spans="1:14" s="311" customFormat="1" ht="15.5">
      <c r="A157" s="611">
        <f t="shared" si="8"/>
        <v>153</v>
      </c>
      <c r="B157" s="65">
        <v>41</v>
      </c>
      <c r="C157" s="1005" t="s">
        <v>468</v>
      </c>
      <c r="D157" s="65" t="str">
        <f>IFERROR(VLOOKUP(C157,Foundation!$C$5:$D$554,2,0),"")</f>
        <v>DA+9</v>
      </c>
      <c r="E157" s="732">
        <f>F144+1</f>
        <v>45891</v>
      </c>
      <c r="F157" s="732">
        <v>45897</v>
      </c>
      <c r="G157" s="64" t="s">
        <v>1487</v>
      </c>
      <c r="H157" s="557">
        <f t="shared" si="6"/>
        <v>45.697022000000004</v>
      </c>
      <c r="I157" s="773">
        <f t="shared" si="7"/>
        <v>4.2575184245048003</v>
      </c>
      <c r="J157" s="64" t="s">
        <v>1480</v>
      </c>
      <c r="K157" s="1010" t="s">
        <v>255</v>
      </c>
      <c r="L157" s="1007" t="s">
        <v>1658</v>
      </c>
    </row>
    <row r="158" spans="1:14" s="311" customFormat="1" ht="15.5">
      <c r="A158" s="611">
        <f t="shared" si="8"/>
        <v>154</v>
      </c>
      <c r="B158" s="65">
        <v>42</v>
      </c>
      <c r="C158" s="1005" t="s">
        <v>408</v>
      </c>
      <c r="D158" s="65" t="str">
        <f>IFERROR(VLOOKUP(C158,Foundation!$C$5:$D$554,2,0),"")</f>
        <v>DA+9</v>
      </c>
      <c r="E158" s="732">
        <v>45892</v>
      </c>
      <c r="F158" s="732">
        <v>45898</v>
      </c>
      <c r="G158" s="64" t="s">
        <v>1497</v>
      </c>
      <c r="H158" s="557">
        <f t="shared" si="6"/>
        <v>45.697022000000004</v>
      </c>
      <c r="I158" s="773">
        <f t="shared" si="7"/>
        <v>4.2575184245048003</v>
      </c>
      <c r="J158" s="64" t="s">
        <v>1500</v>
      </c>
      <c r="K158" s="1010" t="s">
        <v>255</v>
      </c>
      <c r="L158" s="1007" t="s">
        <v>1658</v>
      </c>
    </row>
    <row r="159" spans="1:14" s="311" customFormat="1" ht="15.5">
      <c r="A159" s="611">
        <f t="shared" si="8"/>
        <v>155</v>
      </c>
      <c r="B159" s="65">
        <v>43</v>
      </c>
      <c r="C159" s="1005" t="s">
        <v>573</v>
      </c>
      <c r="D159" s="65" t="str">
        <f>IFERROR(VLOOKUP(C159,Foundation!$C$5:$D$554,2,0),"")</f>
        <v>DA+6</v>
      </c>
      <c r="E159" s="732">
        <v>45892</v>
      </c>
      <c r="F159" s="732">
        <v>45899</v>
      </c>
      <c r="G159" s="64" t="s">
        <v>1498</v>
      </c>
      <c r="H159" s="557">
        <f t="shared" si="6"/>
        <v>43.804423999999997</v>
      </c>
      <c r="I159" s="773">
        <f t="shared" si="7"/>
        <v>4.0811880970015997</v>
      </c>
      <c r="J159" s="64" t="s">
        <v>1017</v>
      </c>
      <c r="K159" s="1010" t="s">
        <v>255</v>
      </c>
      <c r="L159" s="1007" t="s">
        <v>1658</v>
      </c>
    </row>
    <row r="160" spans="1:14" s="311" customFormat="1" ht="15.5">
      <c r="A160" s="611">
        <f t="shared" si="8"/>
        <v>156</v>
      </c>
      <c r="B160" s="65">
        <v>44</v>
      </c>
      <c r="C160" s="1005" t="s">
        <v>446</v>
      </c>
      <c r="D160" s="65" t="str">
        <f>IFERROR(VLOOKUP(C160,Foundation!$C$5:$D$554,2,0),"")</f>
        <v>DA-1.5</v>
      </c>
      <c r="E160" s="732">
        <f>F145+1</f>
        <v>45891</v>
      </c>
      <c r="F160" s="732">
        <v>45900</v>
      </c>
      <c r="G160" s="64" t="s">
        <v>1481</v>
      </c>
      <c r="H160" s="557">
        <f t="shared" si="6"/>
        <v>35.601761999999994</v>
      </c>
      <c r="I160" s="773">
        <f t="shared" si="7"/>
        <v>3.3169592027207995</v>
      </c>
      <c r="J160" s="64" t="s">
        <v>1173</v>
      </c>
      <c r="K160" s="1010" t="s">
        <v>255</v>
      </c>
      <c r="L160" s="1007" t="s">
        <v>1658</v>
      </c>
      <c r="M160" s="311" t="s">
        <v>1746</v>
      </c>
      <c r="N160" s="311" t="s">
        <v>1747</v>
      </c>
    </row>
    <row r="161" spans="1:14" s="311" customFormat="1" ht="15.5">
      <c r="A161" s="611">
        <f t="shared" si="8"/>
        <v>157</v>
      </c>
      <c r="B161" s="65">
        <v>1</v>
      </c>
      <c r="C161" s="1005" t="s">
        <v>674</v>
      </c>
      <c r="D161" s="65" t="str">
        <f>IFERROR(VLOOKUP(C161,Foundation!$C$5:$D$554,2,0),"")</f>
        <v>DB1+12</v>
      </c>
      <c r="E161" s="732">
        <f>F142+1</f>
        <v>45891</v>
      </c>
      <c r="F161" s="732">
        <v>45901</v>
      </c>
      <c r="G161" s="64" t="s">
        <v>1486</v>
      </c>
      <c r="H161" s="557">
        <f t="shared" si="6"/>
        <v>70.788264999999996</v>
      </c>
      <c r="I161" s="773">
        <f t="shared" si="7"/>
        <v>6.5952293888259996</v>
      </c>
      <c r="J161" s="64" t="s">
        <v>1479</v>
      </c>
      <c r="K161" s="1010" t="s">
        <v>255</v>
      </c>
      <c r="L161" s="1007" t="s">
        <v>1658</v>
      </c>
      <c r="M161" s="311" t="s">
        <v>1692</v>
      </c>
      <c r="N161" s="311" t="s">
        <v>1693</v>
      </c>
    </row>
    <row r="162" spans="1:14" s="311" customFormat="1" ht="15.5">
      <c r="A162" s="611">
        <f t="shared" si="8"/>
        <v>158</v>
      </c>
      <c r="B162" s="65">
        <v>2</v>
      </c>
      <c r="C162" s="1005" t="s">
        <v>776</v>
      </c>
      <c r="D162" s="65" t="str">
        <f>IFERROR(VLOOKUP(C162,Foundation!$C$5:$D$554,2,0),"")</f>
        <v>DA+6</v>
      </c>
      <c r="E162" s="732">
        <v>45883</v>
      </c>
      <c r="F162" s="732">
        <v>45902</v>
      </c>
      <c r="G162" s="64" t="s">
        <v>1499</v>
      </c>
      <c r="H162" s="557">
        <f t="shared" si="6"/>
        <v>43.804423999999997</v>
      </c>
      <c r="I162" s="773">
        <f t="shared" si="7"/>
        <v>4.0811880970015997</v>
      </c>
      <c r="J162" s="64" t="s">
        <v>1143</v>
      </c>
      <c r="K162" s="1010" t="s">
        <v>255</v>
      </c>
      <c r="L162" s="1010" t="s">
        <v>1658</v>
      </c>
      <c r="M162" s="311" t="s">
        <v>1694</v>
      </c>
      <c r="N162" s="311" t="s">
        <v>1695</v>
      </c>
    </row>
    <row r="163" spans="1:14" s="311" customFormat="1" ht="15.5">
      <c r="A163" s="611">
        <f t="shared" si="8"/>
        <v>159</v>
      </c>
      <c r="B163" s="65">
        <v>3</v>
      </c>
      <c r="C163" s="1005" t="s">
        <v>475</v>
      </c>
      <c r="D163" s="65" t="str">
        <f>IFERROR(VLOOKUP(C163,Foundation!$C$5:$D$554,2,0),"")</f>
        <v>DA+6</v>
      </c>
      <c r="E163" s="732">
        <v>45892</v>
      </c>
      <c r="F163" s="732">
        <v>45902</v>
      </c>
      <c r="G163" s="64" t="s">
        <v>1490</v>
      </c>
      <c r="H163" s="557">
        <f t="shared" ref="H163:H226" si="9">VLOOKUP(D163,$D$316:$I$345,6,0)</f>
        <v>43.804423999999997</v>
      </c>
      <c r="I163" s="773">
        <f t="shared" si="7"/>
        <v>4.0811880970015997</v>
      </c>
      <c r="J163" s="64" t="s">
        <v>1150</v>
      </c>
      <c r="K163" s="1010" t="s">
        <v>255</v>
      </c>
      <c r="L163" s="1007" t="s">
        <v>1658</v>
      </c>
      <c r="M163" s="311" t="s">
        <v>1694</v>
      </c>
      <c r="N163" s="311" t="s">
        <v>1695</v>
      </c>
    </row>
    <row r="164" spans="1:14" s="311" customFormat="1" ht="15.5">
      <c r="A164" s="611">
        <f t="shared" si="8"/>
        <v>160</v>
      </c>
      <c r="B164" s="65">
        <v>4</v>
      </c>
      <c r="C164" s="1005" t="s">
        <v>1253</v>
      </c>
      <c r="D164" s="65" t="str">
        <f>IFERROR(VLOOKUP(C164,Foundation!$C$5:$D$554,2,0),"")</f>
        <v>DA+3</v>
      </c>
      <c r="E164" s="732">
        <f>F153+1</f>
        <v>45897</v>
      </c>
      <c r="F164" s="732">
        <v>45902</v>
      </c>
      <c r="G164" s="64" t="s">
        <v>1493</v>
      </c>
      <c r="H164" s="557">
        <f t="shared" si="9"/>
        <v>37.931087999999995</v>
      </c>
      <c r="I164" s="773">
        <f t="shared" si="7"/>
        <v>3.5339787792191997</v>
      </c>
      <c r="J164" s="64" t="s">
        <v>1495</v>
      </c>
      <c r="K164" s="1010" t="s">
        <v>255</v>
      </c>
      <c r="L164" s="1007" t="s">
        <v>1658</v>
      </c>
      <c r="M164" s="311" t="s">
        <v>1696</v>
      </c>
      <c r="N164" s="311" t="s">
        <v>1697</v>
      </c>
    </row>
    <row r="165" spans="1:14" s="311" customFormat="1" ht="15.5">
      <c r="A165" s="611">
        <f t="shared" si="8"/>
        <v>161</v>
      </c>
      <c r="B165" s="65">
        <v>5</v>
      </c>
      <c r="C165" s="1005" t="s">
        <v>646</v>
      </c>
      <c r="D165" s="65" t="str">
        <f>IFERROR(VLOOKUP(C165,Foundation!$C$5:$D$554,2,0),"")</f>
        <v>DA-1.5</v>
      </c>
      <c r="E165" s="732">
        <v>45892</v>
      </c>
      <c r="F165" s="732">
        <v>45902</v>
      </c>
      <c r="G165" s="64" t="s">
        <v>1483</v>
      </c>
      <c r="H165" s="557">
        <f t="shared" si="9"/>
        <v>35.601761999999994</v>
      </c>
      <c r="I165" s="773">
        <f t="shared" si="7"/>
        <v>3.3169592027207995</v>
      </c>
      <c r="J165" s="64" t="s">
        <v>1485</v>
      </c>
      <c r="K165" s="1010" t="s">
        <v>255</v>
      </c>
      <c r="L165" s="1007" t="s">
        <v>1658</v>
      </c>
      <c r="M165" s="311" t="s">
        <v>1698</v>
      </c>
      <c r="N165" s="311" t="s">
        <v>1699</v>
      </c>
    </row>
    <row r="166" spans="1:14" s="311" customFormat="1" ht="15.5">
      <c r="A166" s="611">
        <f t="shared" si="8"/>
        <v>162</v>
      </c>
      <c r="B166" s="65">
        <v>6</v>
      </c>
      <c r="C166" s="1005" t="s">
        <v>447</v>
      </c>
      <c r="D166" s="65" t="str">
        <f>IFERROR(VLOOKUP(C166,Foundation!$C$5:$D$554,2,0),"")</f>
        <v>DA+6</v>
      </c>
      <c r="E166" s="732">
        <v>45892</v>
      </c>
      <c r="F166" s="732">
        <v>45903</v>
      </c>
      <c r="G166" s="64" t="s">
        <v>1484</v>
      </c>
      <c r="H166" s="557">
        <f t="shared" si="9"/>
        <v>43.804423999999997</v>
      </c>
      <c r="I166" s="773">
        <f t="shared" si="7"/>
        <v>4.0811880970015997</v>
      </c>
      <c r="J166" s="64" t="s">
        <v>1502</v>
      </c>
      <c r="K166" s="1010" t="s">
        <v>255</v>
      </c>
      <c r="L166" s="1007" t="s">
        <v>1658</v>
      </c>
      <c r="M166" s="311" t="s">
        <v>1694</v>
      </c>
      <c r="N166" s="311" t="s">
        <v>1695</v>
      </c>
    </row>
    <row r="167" spans="1:14" s="311" customFormat="1" ht="15.5">
      <c r="A167" s="611">
        <f t="shared" si="8"/>
        <v>163</v>
      </c>
      <c r="B167" s="65">
        <v>7</v>
      </c>
      <c r="C167" s="1005" t="s">
        <v>451</v>
      </c>
      <c r="D167" s="65" t="str">
        <f>IFERROR(VLOOKUP(C167,Foundation!$C$5:$D$554,2,0),"")</f>
        <v>DA+1.5</v>
      </c>
      <c r="E167" s="732">
        <v>45892</v>
      </c>
      <c r="F167" s="732">
        <v>45903</v>
      </c>
      <c r="G167" s="64" t="s">
        <v>1475</v>
      </c>
      <c r="H167" s="557">
        <f t="shared" si="9"/>
        <v>37.138323999999997</v>
      </c>
      <c r="I167" s="773">
        <f t="shared" si="7"/>
        <v>3.4601182257615997</v>
      </c>
      <c r="J167" s="64" t="s">
        <v>1094</v>
      </c>
      <c r="K167" s="1010" t="s">
        <v>255</v>
      </c>
      <c r="L167" s="1007" t="s">
        <v>1658</v>
      </c>
      <c r="M167" s="311" t="s">
        <v>1700</v>
      </c>
      <c r="N167" s="311" t="s">
        <v>1701</v>
      </c>
    </row>
    <row r="168" spans="1:14" s="311" customFormat="1" ht="15.5">
      <c r="A168" s="611">
        <f t="shared" si="8"/>
        <v>164</v>
      </c>
      <c r="B168" s="65">
        <v>8</v>
      </c>
      <c r="C168" s="1005" t="s">
        <v>1240</v>
      </c>
      <c r="D168" s="65" t="str">
        <f>IFERROR(VLOOKUP(C168,Foundation!$C$5:$D$554,2,0),"")</f>
        <v>DA+3</v>
      </c>
      <c r="E168" s="732">
        <v>45894</v>
      </c>
      <c r="F168" s="732">
        <v>45903</v>
      </c>
      <c r="G168" s="64" t="s">
        <v>1522</v>
      </c>
      <c r="H168" s="557">
        <f t="shared" si="9"/>
        <v>37.931087999999995</v>
      </c>
      <c r="I168" s="773">
        <f t="shared" si="7"/>
        <v>3.5339787792191997</v>
      </c>
      <c r="J168" s="64" t="s">
        <v>1491</v>
      </c>
      <c r="K168" s="1010" t="s">
        <v>255</v>
      </c>
      <c r="L168" s="1007" t="s">
        <v>1658</v>
      </c>
      <c r="M168" s="311" t="s">
        <v>1696</v>
      </c>
      <c r="N168" s="311" t="s">
        <v>1697</v>
      </c>
    </row>
    <row r="169" spans="1:14" s="311" customFormat="1" ht="15.5">
      <c r="A169" s="611">
        <f t="shared" si="8"/>
        <v>165</v>
      </c>
      <c r="B169" s="65">
        <v>9</v>
      </c>
      <c r="C169" s="1005" t="s">
        <v>70</v>
      </c>
      <c r="D169" s="65" t="str">
        <f>IFERROR(VLOOKUP(C169,Foundation!$C$5:$D$554,2,0),"")</f>
        <v>DA+3</v>
      </c>
      <c r="E169" s="732">
        <f>F159+1</f>
        <v>45900</v>
      </c>
      <c r="F169" s="732">
        <v>45904</v>
      </c>
      <c r="G169" s="64" t="s">
        <v>1498</v>
      </c>
      <c r="H169" s="557">
        <f t="shared" si="9"/>
        <v>37.931087999999995</v>
      </c>
      <c r="I169" s="773">
        <f t="shared" si="7"/>
        <v>3.5339787792191997</v>
      </c>
      <c r="J169" s="64" t="s">
        <v>1017</v>
      </c>
      <c r="K169" s="1010" t="s">
        <v>255</v>
      </c>
      <c r="L169" s="1007" t="s">
        <v>1658</v>
      </c>
      <c r="M169" s="311" t="s">
        <v>1696</v>
      </c>
      <c r="N169" s="311" t="s">
        <v>1697</v>
      </c>
    </row>
    <row r="170" spans="1:14" s="311" customFormat="1" ht="15.5">
      <c r="A170" s="611">
        <f t="shared" si="8"/>
        <v>166</v>
      </c>
      <c r="B170" s="65">
        <v>10</v>
      </c>
      <c r="C170" s="1005" t="s">
        <v>467</v>
      </c>
      <c r="D170" s="65" t="str">
        <f>IFERROR(VLOOKUP(C170,Foundation!$C$5:$D$554,2,0),"")</f>
        <v>DA+6</v>
      </c>
      <c r="E170" s="732">
        <f>F156+1</f>
        <v>45898</v>
      </c>
      <c r="F170" s="732">
        <v>45905</v>
      </c>
      <c r="G170" s="64" t="s">
        <v>1487</v>
      </c>
      <c r="H170" s="557">
        <f t="shared" si="9"/>
        <v>43.804423999999997</v>
      </c>
      <c r="I170" s="773">
        <f t="shared" si="7"/>
        <v>4.0811880970015997</v>
      </c>
      <c r="J170" s="64" t="s">
        <v>1501</v>
      </c>
      <c r="K170" s="1010" t="s">
        <v>255</v>
      </c>
      <c r="L170" s="1007" t="s">
        <v>1658</v>
      </c>
      <c r="M170" s="311" t="s">
        <v>1694</v>
      </c>
      <c r="N170" s="311" t="s">
        <v>1695</v>
      </c>
    </row>
    <row r="171" spans="1:14" s="311" customFormat="1" ht="15.5">
      <c r="A171" s="611">
        <f t="shared" si="8"/>
        <v>167</v>
      </c>
      <c r="B171" s="65">
        <v>11</v>
      </c>
      <c r="C171" s="1005" t="s">
        <v>474</v>
      </c>
      <c r="D171" s="65" t="str">
        <f>IFERROR(VLOOKUP(C171,Foundation!$C$5:$D$554,2,0),"")</f>
        <v>DA+3</v>
      </c>
      <c r="E171" s="732">
        <f>F157+1</f>
        <v>45898</v>
      </c>
      <c r="F171" s="732">
        <v>45906</v>
      </c>
      <c r="G171" s="64" t="s">
        <v>1490</v>
      </c>
      <c r="H171" s="557">
        <f t="shared" si="9"/>
        <v>37.931087999999995</v>
      </c>
      <c r="I171" s="773">
        <f t="shared" si="7"/>
        <v>3.5339787792191997</v>
      </c>
      <c r="J171" s="64" t="s">
        <v>1480</v>
      </c>
      <c r="K171" s="1010" t="s">
        <v>255</v>
      </c>
      <c r="L171" s="1007" t="s">
        <v>1658</v>
      </c>
      <c r="M171" s="311" t="s">
        <v>1696</v>
      </c>
      <c r="N171" s="311" t="s">
        <v>1697</v>
      </c>
    </row>
    <row r="172" spans="1:14" s="311" customFormat="1" ht="15.5">
      <c r="A172" s="611">
        <f t="shared" si="8"/>
        <v>168</v>
      </c>
      <c r="B172" s="65">
        <v>12</v>
      </c>
      <c r="C172" s="1005" t="s">
        <v>263</v>
      </c>
      <c r="D172" s="65" t="str">
        <f>IFERROR(VLOOKUP(C172,Foundation!$C$5:$D$554,2,0),"")</f>
        <v>DB1+12</v>
      </c>
      <c r="E172" s="732">
        <f>F158+1</f>
        <v>45899</v>
      </c>
      <c r="F172" s="732">
        <v>45906</v>
      </c>
      <c r="G172" s="64" t="s">
        <v>1497</v>
      </c>
      <c r="H172" s="557">
        <f t="shared" si="9"/>
        <v>70.788264999999996</v>
      </c>
      <c r="I172" s="773">
        <f t="shared" si="7"/>
        <v>6.5952293888259996</v>
      </c>
      <c r="J172" s="64" t="s">
        <v>1500</v>
      </c>
      <c r="K172" s="1010" t="s">
        <v>255</v>
      </c>
      <c r="L172" s="1007" t="s">
        <v>1658</v>
      </c>
      <c r="M172" s="311" t="s">
        <v>1692</v>
      </c>
      <c r="N172" s="311" t="s">
        <v>1693</v>
      </c>
    </row>
    <row r="173" spans="1:14" s="311" customFormat="1" ht="15.5">
      <c r="A173" s="611">
        <f t="shared" si="8"/>
        <v>169</v>
      </c>
      <c r="B173" s="65">
        <v>13</v>
      </c>
      <c r="C173" s="1005" t="s">
        <v>895</v>
      </c>
      <c r="D173" s="65" t="str">
        <f>IFERROR(VLOOKUP(C173,Foundation!$C$5:$D$554,2,0),"")</f>
        <v>DA+9</v>
      </c>
      <c r="E173" s="732">
        <f>F154+1</f>
        <v>45898</v>
      </c>
      <c r="F173" s="732">
        <v>45906</v>
      </c>
      <c r="G173" s="64" t="s">
        <v>1525</v>
      </c>
      <c r="H173" s="557">
        <f t="shared" si="9"/>
        <v>45.697022000000004</v>
      </c>
      <c r="I173" s="773">
        <f t="shared" si="7"/>
        <v>4.2575184245048003</v>
      </c>
      <c r="J173" s="64" t="s">
        <v>1480</v>
      </c>
      <c r="K173" s="1010" t="s">
        <v>255</v>
      </c>
      <c r="L173" s="1007" t="s">
        <v>1658</v>
      </c>
      <c r="M173" s="311" t="s">
        <v>1702</v>
      </c>
      <c r="N173" s="311" t="s">
        <v>1703</v>
      </c>
    </row>
    <row r="174" spans="1:14" s="311" customFormat="1" ht="15.5">
      <c r="A174" s="611">
        <f t="shared" si="8"/>
        <v>170</v>
      </c>
      <c r="B174" s="65">
        <v>14</v>
      </c>
      <c r="C174" s="1005" t="s">
        <v>647</v>
      </c>
      <c r="D174" s="65" t="str">
        <f>IFERROR(VLOOKUP(C174,Foundation!$C$5:$D$554,2,0),"")</f>
        <v>DA+0</v>
      </c>
      <c r="E174" s="732">
        <f>F165+1</f>
        <v>45903</v>
      </c>
      <c r="F174" s="732">
        <v>45907</v>
      </c>
      <c r="G174" s="64" t="s">
        <v>1483</v>
      </c>
      <c r="H174" s="557">
        <f t="shared" si="9"/>
        <v>36.159755999999994</v>
      </c>
      <c r="I174" s="773">
        <f t="shared" si="7"/>
        <v>3.3689466109103994</v>
      </c>
      <c r="J174" s="64" t="s">
        <v>1485</v>
      </c>
      <c r="K174" s="1010" t="s">
        <v>255</v>
      </c>
      <c r="L174" s="1007" t="s">
        <v>1658</v>
      </c>
      <c r="M174" s="311" t="s">
        <v>1704</v>
      </c>
      <c r="N174" s="311" t="s">
        <v>1705</v>
      </c>
    </row>
    <row r="175" spans="1:14" s="311" customFormat="1" ht="15.5">
      <c r="A175" s="611">
        <f t="shared" si="8"/>
        <v>171</v>
      </c>
      <c r="B175" s="65">
        <v>15</v>
      </c>
      <c r="C175" s="1005" t="s">
        <v>462</v>
      </c>
      <c r="D175" s="65" t="str">
        <f>IFERROR(VLOOKUP(C175,Foundation!$C$5:$D$554,2,0),"")</f>
        <v>DA-1.5</v>
      </c>
      <c r="E175" s="732">
        <f>F155+1</f>
        <v>45898</v>
      </c>
      <c r="F175" s="732">
        <v>45908</v>
      </c>
      <c r="G175" s="64" t="s">
        <v>1494</v>
      </c>
      <c r="H175" s="557">
        <f t="shared" si="9"/>
        <v>35.601761999999994</v>
      </c>
      <c r="I175" s="773">
        <f t="shared" si="7"/>
        <v>3.3169592027207995</v>
      </c>
      <c r="J175" s="64" t="s">
        <v>1503</v>
      </c>
      <c r="K175" s="1010" t="s">
        <v>255</v>
      </c>
      <c r="L175" s="1007" t="s">
        <v>1658</v>
      </c>
      <c r="M175" s="311" t="s">
        <v>1698</v>
      </c>
      <c r="N175" s="311" t="s">
        <v>1699</v>
      </c>
    </row>
    <row r="176" spans="1:14" s="311" customFormat="1" ht="15.5">
      <c r="A176" s="611">
        <f t="shared" si="8"/>
        <v>172</v>
      </c>
      <c r="B176" s="65">
        <v>16</v>
      </c>
      <c r="C176" s="1005" t="s">
        <v>1254</v>
      </c>
      <c r="D176" s="65" t="str">
        <f>IFERROR(VLOOKUP(C176,Foundation!$C$5:$D$554,2,0),"")</f>
        <v>DA+3</v>
      </c>
      <c r="E176" s="732">
        <f>F164+1</f>
        <v>45903</v>
      </c>
      <c r="F176" s="732">
        <v>45908</v>
      </c>
      <c r="G176" s="64" t="s">
        <v>1493</v>
      </c>
      <c r="H176" s="557">
        <f t="shared" si="9"/>
        <v>37.931087999999995</v>
      </c>
      <c r="I176" s="773">
        <f t="shared" si="7"/>
        <v>3.5339787792191997</v>
      </c>
      <c r="J176" s="64" t="s">
        <v>1495</v>
      </c>
      <c r="K176" s="1010" t="s">
        <v>255</v>
      </c>
      <c r="L176" s="1007" t="s">
        <v>1658</v>
      </c>
      <c r="M176" s="311" t="s">
        <v>1696</v>
      </c>
      <c r="N176" s="311" t="s">
        <v>1697</v>
      </c>
    </row>
    <row r="177" spans="1:15" s="311" customFormat="1" ht="15.5">
      <c r="A177" s="611">
        <f t="shared" si="8"/>
        <v>173</v>
      </c>
      <c r="B177" s="65">
        <v>17</v>
      </c>
      <c r="C177" s="1005" t="s">
        <v>897</v>
      </c>
      <c r="D177" s="65" t="str">
        <f>IFERROR(VLOOKUP(C177,Foundation!$C$5:$D$554,2,0),"")</f>
        <v>DA+9</v>
      </c>
      <c r="E177" s="732">
        <v>45894</v>
      </c>
      <c r="F177" s="732">
        <v>45908</v>
      </c>
      <c r="G177" s="64" t="s">
        <v>1526</v>
      </c>
      <c r="H177" s="557">
        <f t="shared" si="9"/>
        <v>45.697022000000004</v>
      </c>
      <c r="I177" s="773">
        <f t="shared" si="7"/>
        <v>4.2575184245048003</v>
      </c>
      <c r="J177" s="64" t="s">
        <v>1480</v>
      </c>
      <c r="K177" s="1010" t="s">
        <v>255</v>
      </c>
      <c r="L177" s="1007" t="s">
        <v>1658</v>
      </c>
      <c r="M177" s="311" t="s">
        <v>1702</v>
      </c>
      <c r="N177" s="311" t="s">
        <v>1703</v>
      </c>
    </row>
    <row r="178" spans="1:15" s="311" customFormat="1" ht="15.5">
      <c r="A178" s="611">
        <f t="shared" si="8"/>
        <v>174</v>
      </c>
      <c r="B178" s="65">
        <v>18</v>
      </c>
      <c r="C178" s="1005" t="s">
        <v>441</v>
      </c>
      <c r="D178" s="65" t="str">
        <f>IFERROR(VLOOKUP(C178,Foundation!$C$5:$D$554,2,0),"")</f>
        <v>DA+6</v>
      </c>
      <c r="E178" s="732">
        <v>45898</v>
      </c>
      <c r="F178" s="732">
        <v>45908</v>
      </c>
      <c r="G178" s="64" t="s">
        <v>1523</v>
      </c>
      <c r="H178" s="557">
        <f t="shared" si="9"/>
        <v>43.804423999999997</v>
      </c>
      <c r="I178" s="773">
        <f t="shared" si="7"/>
        <v>4.0811880970015997</v>
      </c>
      <c r="J178" s="64" t="s">
        <v>1533</v>
      </c>
      <c r="K178" s="1010" t="s">
        <v>255</v>
      </c>
      <c r="L178" s="1010" t="s">
        <v>1658</v>
      </c>
      <c r="M178" s="311" t="s">
        <v>1694</v>
      </c>
      <c r="N178" s="311" t="s">
        <v>1695</v>
      </c>
    </row>
    <row r="179" spans="1:15" s="311" customFormat="1" ht="15.5">
      <c r="A179" s="611">
        <f t="shared" si="8"/>
        <v>175</v>
      </c>
      <c r="B179" s="65">
        <v>19</v>
      </c>
      <c r="C179" s="1005" t="s">
        <v>465</v>
      </c>
      <c r="D179" s="65" t="str">
        <f>IFERROR(VLOOKUP(C179,Foundation!$C$5:$D$554,2,0),"")</f>
        <v>DA+9</v>
      </c>
      <c r="E179" s="732">
        <f>F161+1</f>
        <v>45902</v>
      </c>
      <c r="F179" s="732">
        <v>45909</v>
      </c>
      <c r="G179" s="64" t="s">
        <v>1486</v>
      </c>
      <c r="H179" s="557">
        <f t="shared" si="9"/>
        <v>45.697022000000004</v>
      </c>
      <c r="I179" s="773">
        <f t="shared" si="7"/>
        <v>4.2575184245048003</v>
      </c>
      <c r="J179" s="64" t="s">
        <v>1479</v>
      </c>
      <c r="K179" s="1010" t="s">
        <v>255</v>
      </c>
      <c r="L179" s="1007" t="s">
        <v>1658</v>
      </c>
      <c r="M179" s="311" t="s">
        <v>1702</v>
      </c>
      <c r="N179" s="311" t="s">
        <v>1703</v>
      </c>
    </row>
    <row r="180" spans="1:15" s="311" customFormat="1" ht="15.5">
      <c r="A180" s="611">
        <f t="shared" si="8"/>
        <v>176</v>
      </c>
      <c r="B180" s="65">
        <v>20</v>
      </c>
      <c r="C180" s="1005" t="s">
        <v>1242</v>
      </c>
      <c r="D180" s="65" t="str">
        <f>IFERROR(VLOOKUP(C180,Foundation!$C$5:$D$554,2,0),"")</f>
        <v>DA+3</v>
      </c>
      <c r="E180" s="732">
        <v>45904</v>
      </c>
      <c r="F180" s="732">
        <v>45909</v>
      </c>
      <c r="G180" s="64" t="s">
        <v>1522</v>
      </c>
      <c r="H180" s="557">
        <f t="shared" si="9"/>
        <v>37.931087999999995</v>
      </c>
      <c r="I180" s="773">
        <f t="shared" si="7"/>
        <v>3.5339787792191997</v>
      </c>
      <c r="J180" s="64" t="s">
        <v>1491</v>
      </c>
      <c r="K180" s="1010" t="s">
        <v>255</v>
      </c>
      <c r="L180" s="1007" t="s">
        <v>1658</v>
      </c>
      <c r="M180" s="311" t="s">
        <v>1696</v>
      </c>
      <c r="N180" s="311" t="s">
        <v>1697</v>
      </c>
    </row>
    <row r="181" spans="1:15" s="311" customFormat="1" ht="15.5">
      <c r="A181" s="611">
        <f t="shared" si="8"/>
        <v>177</v>
      </c>
      <c r="B181" s="65">
        <v>21</v>
      </c>
      <c r="C181" s="1005" t="s">
        <v>187</v>
      </c>
      <c r="D181" s="65" t="str">
        <f>IFERROR(VLOOKUP(C181,Foundation!$C$5:$D$554,2,0),"")</f>
        <v>DA+3</v>
      </c>
      <c r="E181" s="732">
        <v>45905</v>
      </c>
      <c r="F181" s="732">
        <v>45909</v>
      </c>
      <c r="G181" s="64" t="s">
        <v>1498</v>
      </c>
      <c r="H181" s="557">
        <f t="shared" si="9"/>
        <v>37.931087999999995</v>
      </c>
      <c r="I181" s="773">
        <f t="shared" si="7"/>
        <v>3.5339787792191997</v>
      </c>
      <c r="J181" s="64" t="s">
        <v>1017</v>
      </c>
      <c r="K181" s="1010" t="s">
        <v>255</v>
      </c>
      <c r="L181" s="1007" t="s">
        <v>1658</v>
      </c>
      <c r="M181" s="311" t="s">
        <v>1696</v>
      </c>
      <c r="N181" s="311" t="s">
        <v>1697</v>
      </c>
    </row>
    <row r="182" spans="1:15" s="311" customFormat="1" ht="15.5">
      <c r="A182" s="611">
        <f t="shared" si="8"/>
        <v>178</v>
      </c>
      <c r="B182" s="65">
        <v>22</v>
      </c>
      <c r="C182" s="1005" t="s">
        <v>68</v>
      </c>
      <c r="D182" s="65" t="str">
        <f>IFERROR(VLOOKUP(C182,Foundation!$C$5:$D$554,2,0),"")</f>
        <v>DA+9</v>
      </c>
      <c r="E182" s="732">
        <v>45894</v>
      </c>
      <c r="F182" s="732">
        <v>45910</v>
      </c>
      <c r="G182" s="64" t="s">
        <v>1527</v>
      </c>
      <c r="H182" s="557">
        <f t="shared" si="9"/>
        <v>45.697022000000004</v>
      </c>
      <c r="I182" s="773">
        <f t="shared" si="7"/>
        <v>4.2575184245048003</v>
      </c>
      <c r="J182" s="64" t="s">
        <v>1528</v>
      </c>
      <c r="K182" s="1010" t="s">
        <v>255</v>
      </c>
      <c r="L182" s="1010" t="s">
        <v>1658</v>
      </c>
      <c r="M182" s="311" t="s">
        <v>1702</v>
      </c>
      <c r="N182" s="311" t="s">
        <v>1703</v>
      </c>
    </row>
    <row r="183" spans="1:15" s="311" customFormat="1" ht="15.5">
      <c r="A183" s="611">
        <f t="shared" si="8"/>
        <v>179</v>
      </c>
      <c r="B183" s="65">
        <v>23</v>
      </c>
      <c r="C183" s="1005" t="s">
        <v>1259</v>
      </c>
      <c r="D183" s="65" t="str">
        <f>IFERROR(VLOOKUP(C183,Foundation!$C$5:$D$554,2,0),"")</f>
        <v>DA+3</v>
      </c>
      <c r="E183" s="732">
        <f>F163+1</f>
        <v>45903</v>
      </c>
      <c r="F183" s="732">
        <v>45911</v>
      </c>
      <c r="G183" s="64" t="s">
        <v>1489</v>
      </c>
      <c r="H183" s="557">
        <f t="shared" si="9"/>
        <v>37.931087999999995</v>
      </c>
      <c r="I183" s="773">
        <f t="shared" si="7"/>
        <v>3.5339787792191997</v>
      </c>
      <c r="J183" s="64" t="s">
        <v>1150</v>
      </c>
      <c r="K183" s="1010" t="s">
        <v>255</v>
      </c>
      <c r="L183" s="1007" t="s">
        <v>1658</v>
      </c>
      <c r="M183" s="311" t="s">
        <v>1696</v>
      </c>
      <c r="N183" s="311" t="s">
        <v>1697</v>
      </c>
    </row>
    <row r="184" spans="1:15" s="311" customFormat="1" ht="15.5">
      <c r="A184" s="611">
        <f t="shared" si="8"/>
        <v>180</v>
      </c>
      <c r="B184" s="65">
        <v>24</v>
      </c>
      <c r="C184" s="1005" t="s">
        <v>649</v>
      </c>
      <c r="D184" s="65" t="str">
        <f>IFERROR(VLOOKUP(C184,Foundation!$C$5:$D$554,2,0),"")</f>
        <v>DA+3</v>
      </c>
      <c r="E184" s="732">
        <f>F174+1</f>
        <v>45908</v>
      </c>
      <c r="F184" s="732">
        <v>45911</v>
      </c>
      <c r="G184" s="64" t="s">
        <v>1483</v>
      </c>
      <c r="H184" s="557">
        <f t="shared" si="9"/>
        <v>37.931087999999995</v>
      </c>
      <c r="I184" s="773">
        <f t="shared" si="7"/>
        <v>3.5339787792191997</v>
      </c>
      <c r="J184" s="64" t="s">
        <v>1491</v>
      </c>
      <c r="K184" s="1010" t="s">
        <v>255</v>
      </c>
      <c r="L184" s="1007" t="s">
        <v>1658</v>
      </c>
      <c r="M184" s="311" t="s">
        <v>1696</v>
      </c>
      <c r="N184" s="311" t="s">
        <v>1697</v>
      </c>
    </row>
    <row r="185" spans="1:15" s="311" customFormat="1" ht="15.5">
      <c r="A185" s="611">
        <f t="shared" si="8"/>
        <v>181</v>
      </c>
      <c r="B185" s="65">
        <v>25</v>
      </c>
      <c r="C185" s="1005" t="s">
        <v>454</v>
      </c>
      <c r="D185" s="65" t="str">
        <f>IFERROR(VLOOKUP(C185,Foundation!$C$5:$D$554,2,0),"")</f>
        <v>DA+6</v>
      </c>
      <c r="E185" s="732">
        <f>F170+1</f>
        <v>45906</v>
      </c>
      <c r="F185" s="732">
        <v>45912</v>
      </c>
      <c r="G185" s="64" t="s">
        <v>1487</v>
      </c>
      <c r="H185" s="557">
        <f t="shared" si="9"/>
        <v>43.804423999999997</v>
      </c>
      <c r="I185" s="773">
        <f t="shared" si="7"/>
        <v>4.0811880970015997</v>
      </c>
      <c r="J185" s="64" t="s">
        <v>1532</v>
      </c>
      <c r="K185" s="1010" t="s">
        <v>255</v>
      </c>
      <c r="L185" s="1007" t="s">
        <v>1658</v>
      </c>
      <c r="M185" s="311" t="s">
        <v>1694</v>
      </c>
      <c r="N185" s="311" t="s">
        <v>1695</v>
      </c>
      <c r="O185" s="311" t="s">
        <v>1794</v>
      </c>
    </row>
    <row r="186" spans="1:15" s="311" customFormat="1" ht="15.5">
      <c r="A186" s="611">
        <f t="shared" si="8"/>
        <v>182</v>
      </c>
      <c r="B186" s="65">
        <v>26</v>
      </c>
      <c r="C186" s="1005" t="s">
        <v>442</v>
      </c>
      <c r="D186" s="65" t="str">
        <f>IFERROR(VLOOKUP(C186,Foundation!$C$5:$D$554,2,0),"")</f>
        <v>DA-3</v>
      </c>
      <c r="E186" s="732">
        <f>F178+1</f>
        <v>45909</v>
      </c>
      <c r="F186" s="732">
        <v>45913</v>
      </c>
      <c r="G186" s="64" t="s">
        <v>1523</v>
      </c>
      <c r="H186" s="557">
        <f t="shared" si="9"/>
        <v>34.789810000000003</v>
      </c>
      <c r="I186" s="773">
        <f t="shared" si="7"/>
        <v>3.2413109340040003</v>
      </c>
      <c r="J186" s="64" t="s">
        <v>1181</v>
      </c>
      <c r="K186" s="1010" t="s">
        <v>255</v>
      </c>
      <c r="L186" s="1010" t="s">
        <v>1658</v>
      </c>
      <c r="M186" s="311" t="s">
        <v>1706</v>
      </c>
      <c r="N186" s="311" t="s">
        <v>1707</v>
      </c>
    </row>
    <row r="187" spans="1:15" s="311" customFormat="1" ht="15.5">
      <c r="A187" s="611">
        <f t="shared" si="8"/>
        <v>183</v>
      </c>
      <c r="B187" s="65">
        <v>27</v>
      </c>
      <c r="C187" s="1005" t="s">
        <v>10</v>
      </c>
      <c r="D187" s="65" t="str">
        <f>IFERROR(VLOOKUP(C187,Foundation!$C$5:$D$554,2,0),"")</f>
        <v>DB2+0</v>
      </c>
      <c r="E187" s="732">
        <v>45904</v>
      </c>
      <c r="F187" s="732">
        <v>45914</v>
      </c>
      <c r="G187" s="64" t="s">
        <v>1475</v>
      </c>
      <c r="H187" s="557">
        <f t="shared" si="9"/>
        <v>59.500627999999999</v>
      </c>
      <c r="I187" s="773">
        <f t="shared" si="7"/>
        <v>5.5435783097551994</v>
      </c>
      <c r="J187" s="64" t="s">
        <v>1094</v>
      </c>
      <c r="K187" s="1010" t="s">
        <v>255</v>
      </c>
      <c r="L187" s="1007" t="s">
        <v>1658</v>
      </c>
      <c r="M187" s="311" t="s">
        <v>1708</v>
      </c>
      <c r="N187" s="311" t="s">
        <v>1709</v>
      </c>
    </row>
    <row r="188" spans="1:15" s="311" customFormat="1" ht="15.5">
      <c r="A188" s="611">
        <f t="shared" si="8"/>
        <v>184</v>
      </c>
      <c r="B188" s="65">
        <v>28</v>
      </c>
      <c r="C188" s="1005" t="s">
        <v>439</v>
      </c>
      <c r="D188" s="65" t="str">
        <f>IFERROR(VLOOKUP(C188,Foundation!$C$5:$D$554,2,0),"")</f>
        <v>DA+9</v>
      </c>
      <c r="E188" s="732">
        <v>45909</v>
      </c>
      <c r="F188" s="732">
        <v>45915</v>
      </c>
      <c r="G188" s="64" t="s">
        <v>1530</v>
      </c>
      <c r="H188" s="557">
        <f t="shared" si="9"/>
        <v>45.697022000000004</v>
      </c>
      <c r="I188" s="773">
        <f t="shared" si="7"/>
        <v>4.2575184245048003</v>
      </c>
      <c r="J188" s="64" t="s">
        <v>1535</v>
      </c>
      <c r="K188" s="1010" t="s">
        <v>255</v>
      </c>
      <c r="L188" s="1010" t="s">
        <v>1658</v>
      </c>
      <c r="M188" s="311" t="s">
        <v>1702</v>
      </c>
      <c r="N188" s="311" t="s">
        <v>1703</v>
      </c>
    </row>
    <row r="189" spans="1:15" s="311" customFormat="1" ht="15.5">
      <c r="A189" s="611">
        <f t="shared" si="8"/>
        <v>185</v>
      </c>
      <c r="B189" s="65">
        <v>29</v>
      </c>
      <c r="C189" s="1005" t="s">
        <v>51</v>
      </c>
      <c r="D189" s="65" t="str">
        <f>IFERROR(VLOOKUP(C189,Foundation!$C$5:$D$554,2,0),"")</f>
        <v>DB2+6</v>
      </c>
      <c r="E189" s="732">
        <f>F172+1</f>
        <v>45907</v>
      </c>
      <c r="F189" s="732">
        <v>45915</v>
      </c>
      <c r="G189" s="64" t="s">
        <v>1497</v>
      </c>
      <c r="H189" s="557">
        <f t="shared" si="9"/>
        <v>69.376000000000005</v>
      </c>
      <c r="I189" s="773">
        <f t="shared" si="7"/>
        <v>6.4636509183999999</v>
      </c>
      <c r="J189" s="64" t="s">
        <v>1532</v>
      </c>
      <c r="K189" s="1010" t="s">
        <v>255</v>
      </c>
      <c r="L189" s="1007" t="s">
        <v>1658</v>
      </c>
      <c r="M189" s="311" t="s">
        <v>1710</v>
      </c>
      <c r="N189" s="311" t="s">
        <v>1711</v>
      </c>
    </row>
    <row r="190" spans="1:15" s="311" customFormat="1" ht="15.5">
      <c r="A190" s="611">
        <f t="shared" si="8"/>
        <v>186</v>
      </c>
      <c r="B190" s="65">
        <v>30</v>
      </c>
      <c r="C190" s="1005" t="s">
        <v>1255</v>
      </c>
      <c r="D190" s="65" t="str">
        <f>IFERROR(VLOOKUP(C190,Foundation!$C$5:$D$554,2,0),"")</f>
        <v>DA+3</v>
      </c>
      <c r="E190" s="732">
        <f>F176+1</f>
        <v>45909</v>
      </c>
      <c r="F190" s="732">
        <v>45915</v>
      </c>
      <c r="G190" s="64" t="s">
        <v>1493</v>
      </c>
      <c r="H190" s="557">
        <f t="shared" si="9"/>
        <v>37.931087999999995</v>
      </c>
      <c r="I190" s="773">
        <f t="shared" si="7"/>
        <v>3.5339787792191997</v>
      </c>
      <c r="J190" s="64" t="s">
        <v>1495</v>
      </c>
      <c r="K190" s="1010" t="s">
        <v>255</v>
      </c>
      <c r="L190" s="1007" t="s">
        <v>1658</v>
      </c>
      <c r="M190" s="311" t="s">
        <v>1696</v>
      </c>
      <c r="N190" s="311" t="s">
        <v>1697</v>
      </c>
    </row>
    <row r="191" spans="1:15" s="311" customFormat="1" ht="15.5">
      <c r="A191" s="611">
        <f t="shared" si="8"/>
        <v>187</v>
      </c>
      <c r="B191" s="65">
        <v>31</v>
      </c>
      <c r="C191" s="1005" t="s">
        <v>466</v>
      </c>
      <c r="D191" s="65" t="str">
        <f>IFERROR(VLOOKUP(C191,Foundation!$C$5:$D$554,2,0),"")</f>
        <v>DA+6</v>
      </c>
      <c r="E191" s="732">
        <v>45910</v>
      </c>
      <c r="F191" s="732">
        <v>45915</v>
      </c>
      <c r="G191" s="64" t="s">
        <v>1486</v>
      </c>
      <c r="H191" s="557">
        <f t="shared" si="9"/>
        <v>43.804423999999997</v>
      </c>
      <c r="I191" s="1122">
        <f t="shared" si="7"/>
        <v>4.0811880970015997</v>
      </c>
      <c r="J191" s="64" t="s">
        <v>1479</v>
      </c>
      <c r="K191" s="1010" t="s">
        <v>255</v>
      </c>
      <c r="L191" s="1007" t="s">
        <v>1658</v>
      </c>
      <c r="M191" s="311" t="s">
        <v>1694</v>
      </c>
      <c r="N191" s="311" t="s">
        <v>1695</v>
      </c>
    </row>
    <row r="192" spans="1:15" s="311" customFormat="1" ht="15.5">
      <c r="A192" s="611">
        <f t="shared" si="8"/>
        <v>188</v>
      </c>
      <c r="B192" s="65">
        <v>32</v>
      </c>
      <c r="C192" s="1005" t="s">
        <v>1243</v>
      </c>
      <c r="D192" s="65" t="str">
        <f>IFERROR(VLOOKUP(C192,Foundation!$C$5:$D$554,2,0),"")</f>
        <v>DA+3</v>
      </c>
      <c r="E192" s="732">
        <v>45910</v>
      </c>
      <c r="F192" s="732">
        <v>45915</v>
      </c>
      <c r="G192" s="64" t="s">
        <v>1522</v>
      </c>
      <c r="H192" s="557">
        <f t="shared" si="9"/>
        <v>37.931087999999995</v>
      </c>
      <c r="I192" s="773">
        <f t="shared" si="7"/>
        <v>3.5339787792191997</v>
      </c>
      <c r="J192" s="64" t="s">
        <v>1502</v>
      </c>
      <c r="K192" s="1010" t="s">
        <v>255</v>
      </c>
      <c r="L192" s="1007" t="s">
        <v>1658</v>
      </c>
      <c r="M192" s="311" t="s">
        <v>1696</v>
      </c>
      <c r="N192" s="311" t="s">
        <v>1697</v>
      </c>
    </row>
    <row r="193" spans="1:14" s="311" customFormat="1" ht="15.5">
      <c r="A193" s="611">
        <f t="shared" si="8"/>
        <v>189</v>
      </c>
      <c r="B193" s="65">
        <v>33</v>
      </c>
      <c r="C193" s="1005" t="s">
        <v>1263</v>
      </c>
      <c r="D193" s="65" t="str">
        <f>IFERROR(VLOOKUP(C193,Foundation!$C$5:$D$554,2,0),"")</f>
        <v>DA+3</v>
      </c>
      <c r="E193" s="732">
        <f>F171+1</f>
        <v>45907</v>
      </c>
      <c r="F193" s="732">
        <v>45915</v>
      </c>
      <c r="G193" s="64" t="s">
        <v>1490</v>
      </c>
      <c r="H193" s="557">
        <f t="shared" si="9"/>
        <v>37.931087999999995</v>
      </c>
      <c r="I193" s="773">
        <f t="shared" si="7"/>
        <v>3.5339787792191997</v>
      </c>
      <c r="J193" s="64" t="s">
        <v>1531</v>
      </c>
      <c r="K193" s="1010" t="s">
        <v>255</v>
      </c>
      <c r="L193" s="1007" t="s">
        <v>1658</v>
      </c>
      <c r="M193" s="311" t="s">
        <v>1696</v>
      </c>
      <c r="N193" s="311" t="s">
        <v>1697</v>
      </c>
    </row>
    <row r="194" spans="1:14" s="311" customFormat="1" ht="15.5">
      <c r="A194" s="611">
        <f t="shared" si="8"/>
        <v>190</v>
      </c>
      <c r="B194" s="65">
        <v>34</v>
      </c>
      <c r="C194" s="1005" t="s">
        <v>894</v>
      </c>
      <c r="D194" s="65" t="str">
        <f>IFERROR(VLOOKUP(C194,Foundation!$C$5:$D$554,2,0),"")</f>
        <v>DA+6</v>
      </c>
      <c r="E194" s="732">
        <f>F173+1</f>
        <v>45907</v>
      </c>
      <c r="F194" s="732">
        <v>45916</v>
      </c>
      <c r="G194" s="64" t="s">
        <v>1525</v>
      </c>
      <c r="H194" s="557">
        <f t="shared" si="9"/>
        <v>43.804423999999997</v>
      </c>
      <c r="I194" s="773">
        <f t="shared" si="7"/>
        <v>4.0811880970015997</v>
      </c>
      <c r="J194" s="64" t="s">
        <v>1480</v>
      </c>
      <c r="K194" s="1010" t="s">
        <v>255</v>
      </c>
      <c r="L194" s="1007" t="s">
        <v>1658</v>
      </c>
      <c r="M194" s="311" t="s">
        <v>1694</v>
      </c>
      <c r="N194" s="311" t="s">
        <v>1695</v>
      </c>
    </row>
    <row r="195" spans="1:14" s="311" customFormat="1" ht="15.5">
      <c r="A195" s="611">
        <f t="shared" si="8"/>
        <v>191</v>
      </c>
      <c r="B195" s="65">
        <v>35</v>
      </c>
      <c r="C195" s="1005" t="s">
        <v>449</v>
      </c>
      <c r="D195" s="65" t="str">
        <f>IFERROR(VLOOKUP(C195,Foundation!$C$5:$D$554,2,0),"")</f>
        <v>DA+0</v>
      </c>
      <c r="E195" s="732">
        <v>45910</v>
      </c>
      <c r="F195" s="732">
        <v>45916</v>
      </c>
      <c r="G195" s="64" t="s">
        <v>1498</v>
      </c>
      <c r="H195" s="557">
        <f t="shared" si="9"/>
        <v>36.159755999999994</v>
      </c>
      <c r="I195" s="773">
        <f t="shared" si="7"/>
        <v>3.3689466109103994</v>
      </c>
      <c r="J195" s="64" t="s">
        <v>1017</v>
      </c>
      <c r="K195" s="1010" t="s">
        <v>255</v>
      </c>
      <c r="L195" s="1007" t="s">
        <v>1658</v>
      </c>
      <c r="M195" s="311" t="s">
        <v>1704</v>
      </c>
      <c r="N195" s="311" t="s">
        <v>1705</v>
      </c>
    </row>
    <row r="196" spans="1:14" s="311" customFormat="1" ht="15.5">
      <c r="A196" s="611">
        <f t="shared" si="8"/>
        <v>192</v>
      </c>
      <c r="B196" s="65">
        <v>36</v>
      </c>
      <c r="C196" s="1005" t="s">
        <v>448</v>
      </c>
      <c r="D196" s="65" t="str">
        <f>IFERROR(VLOOKUP(Erection!C196,Foundation!$C$5:$D$554,2,0),"")</f>
        <v>DA+9</v>
      </c>
      <c r="E196" s="732">
        <v>45904</v>
      </c>
      <c r="F196" s="732">
        <v>45918</v>
      </c>
      <c r="G196" s="64" t="s">
        <v>1484</v>
      </c>
      <c r="H196" s="557">
        <f t="shared" si="9"/>
        <v>45.697022000000004</v>
      </c>
      <c r="I196" s="773">
        <f t="shared" si="7"/>
        <v>4.2575184245048003</v>
      </c>
      <c r="J196" s="64" t="s">
        <v>1173</v>
      </c>
      <c r="K196" s="1010" t="s">
        <v>255</v>
      </c>
      <c r="L196" s="1007" t="s">
        <v>1658</v>
      </c>
      <c r="M196" s="311" t="s">
        <v>1702</v>
      </c>
      <c r="N196" s="311" t="s">
        <v>1703</v>
      </c>
    </row>
    <row r="197" spans="1:14" s="311" customFormat="1" ht="15.5">
      <c r="A197" s="611">
        <f t="shared" si="8"/>
        <v>193</v>
      </c>
      <c r="B197" s="65">
        <v>37</v>
      </c>
      <c r="C197" s="1005" t="s">
        <v>898</v>
      </c>
      <c r="D197" s="65" t="str">
        <f>IFERROR(VLOOKUP(Erection!C197,Foundation!$C$5:$D$554,2,0),"")</f>
        <v>DA+9</v>
      </c>
      <c r="E197" s="732">
        <f>F177+1</f>
        <v>45909</v>
      </c>
      <c r="F197" s="732">
        <v>45918</v>
      </c>
      <c r="G197" s="64" t="s">
        <v>1526</v>
      </c>
      <c r="H197" s="557">
        <f t="shared" si="9"/>
        <v>45.697022000000004</v>
      </c>
      <c r="I197" s="773">
        <f t="shared" ref="I197:I260" si="10">IFERROR(VLOOKUP(D197,$D$316:$K$345,8,0)/10^5,"")</f>
        <v>4.2575184245048003</v>
      </c>
      <c r="J197" s="64" t="s">
        <v>1480</v>
      </c>
      <c r="K197" s="1010" t="s">
        <v>255</v>
      </c>
      <c r="L197" s="1007" t="s">
        <v>1658</v>
      </c>
      <c r="M197" s="311" t="s">
        <v>1702</v>
      </c>
      <c r="N197" s="311" t="s">
        <v>1703</v>
      </c>
    </row>
    <row r="198" spans="1:14" s="311" customFormat="1" ht="15.5">
      <c r="A198" s="611">
        <f t="shared" ref="A198:A261" si="11">A197+1</f>
        <v>194</v>
      </c>
      <c r="B198" s="65">
        <v>38</v>
      </c>
      <c r="C198" s="1005" t="s">
        <v>651</v>
      </c>
      <c r="D198" s="65" t="str">
        <f>IFERROR(VLOOKUP(Erection!C198,Foundation!$C$5:$D$554,2,0),"")</f>
        <v>DA+9</v>
      </c>
      <c r="E198" s="732">
        <v>45914</v>
      </c>
      <c r="F198" s="732">
        <v>45919</v>
      </c>
      <c r="G198" s="64" t="s">
        <v>1483</v>
      </c>
      <c r="H198" s="557">
        <f t="shared" si="9"/>
        <v>45.697022000000004</v>
      </c>
      <c r="I198" s="773">
        <f t="shared" si="10"/>
        <v>4.2575184245048003</v>
      </c>
      <c r="J198" s="64" t="s">
        <v>1502</v>
      </c>
      <c r="K198" s="1010" t="s">
        <v>255</v>
      </c>
      <c r="L198" s="1007" t="s">
        <v>1658</v>
      </c>
      <c r="M198" s="311" t="s">
        <v>1702</v>
      </c>
      <c r="N198" s="311" t="s">
        <v>1703</v>
      </c>
    </row>
    <row r="199" spans="1:14" s="311" customFormat="1" ht="15.5">
      <c r="A199" s="611">
        <f t="shared" si="11"/>
        <v>195</v>
      </c>
      <c r="B199" s="65">
        <v>39</v>
      </c>
      <c r="C199" s="1005" t="s">
        <v>1244</v>
      </c>
      <c r="D199" s="65" t="str">
        <f>IFERROR(VLOOKUP(Erection!C199,Foundation!$C$5:$D$554,2,0),"")</f>
        <v>DA+0</v>
      </c>
      <c r="E199" s="732">
        <f>F192+1</f>
        <v>45916</v>
      </c>
      <c r="F199" s="732">
        <v>45919</v>
      </c>
      <c r="G199" s="64" t="s">
        <v>1522</v>
      </c>
      <c r="H199" s="557">
        <f t="shared" si="9"/>
        <v>36.159755999999994</v>
      </c>
      <c r="I199" s="773">
        <f t="shared" si="10"/>
        <v>3.3689466109103994</v>
      </c>
      <c r="J199" s="64" t="s">
        <v>1502</v>
      </c>
      <c r="K199" s="1010" t="s">
        <v>255</v>
      </c>
      <c r="L199" s="1007" t="s">
        <v>1658</v>
      </c>
      <c r="M199" s="311" t="s">
        <v>1704</v>
      </c>
      <c r="N199" s="311" t="s">
        <v>1705</v>
      </c>
    </row>
    <row r="200" spans="1:14" s="311" customFormat="1" ht="15.5">
      <c r="A200" s="611">
        <f t="shared" si="11"/>
        <v>196</v>
      </c>
      <c r="B200" s="65">
        <v>40</v>
      </c>
      <c r="C200" s="1005" t="s">
        <v>1260</v>
      </c>
      <c r="D200" s="65" t="str">
        <f>IFERROR(VLOOKUP(Erection!C200,Foundation!$C$5:$D$554,2,0),"")</f>
        <v>DA+3</v>
      </c>
      <c r="E200" s="732">
        <f>F183+1</f>
        <v>45912</v>
      </c>
      <c r="F200" s="732">
        <v>45919</v>
      </c>
      <c r="G200" s="64" t="s">
        <v>1489</v>
      </c>
      <c r="H200" s="557">
        <f t="shared" si="9"/>
        <v>37.931087999999995</v>
      </c>
      <c r="I200" s="773">
        <f t="shared" si="10"/>
        <v>3.5339787792191997</v>
      </c>
      <c r="J200" s="64" t="s">
        <v>1150</v>
      </c>
      <c r="K200" s="1010" t="s">
        <v>255</v>
      </c>
      <c r="L200" s="1007" t="s">
        <v>1658</v>
      </c>
      <c r="M200" s="311" t="s">
        <v>1696</v>
      </c>
      <c r="N200" s="311" t="s">
        <v>1697</v>
      </c>
    </row>
    <row r="201" spans="1:14" s="311" customFormat="1" ht="15.5">
      <c r="A201" s="611">
        <f t="shared" si="11"/>
        <v>197</v>
      </c>
      <c r="B201" s="65">
        <v>41</v>
      </c>
      <c r="C201" s="1005" t="s">
        <v>640</v>
      </c>
      <c r="D201" s="65" t="str">
        <f>IFERROR(VLOOKUP(Erection!C201,Foundation!$C$5:$D$554,2,0),"")</f>
        <v>DB1+9</v>
      </c>
      <c r="E201" s="732">
        <v>45904</v>
      </c>
      <c r="F201" s="732">
        <v>45920</v>
      </c>
      <c r="G201" s="64" t="s">
        <v>1524</v>
      </c>
      <c r="H201" s="557">
        <f t="shared" si="9"/>
        <v>66.780901</v>
      </c>
      <c r="I201" s="773">
        <f t="shared" si="10"/>
        <v>6.2218696967283993</v>
      </c>
      <c r="J201" s="64" t="s">
        <v>1491</v>
      </c>
      <c r="K201" s="1010" t="s">
        <v>255</v>
      </c>
      <c r="L201" s="1007" t="s">
        <v>1658</v>
      </c>
      <c r="M201" s="311" t="s">
        <v>1712</v>
      </c>
      <c r="N201" s="311" t="s">
        <v>1713</v>
      </c>
    </row>
    <row r="202" spans="1:14" s="311" customFormat="1" ht="15.5">
      <c r="A202" s="611">
        <f t="shared" si="11"/>
        <v>198</v>
      </c>
      <c r="B202" s="65">
        <v>42</v>
      </c>
      <c r="C202" s="1005" t="s">
        <v>67</v>
      </c>
      <c r="D202" s="65" t="str">
        <f>IFERROR(VLOOKUP(Erection!C202,Foundation!$C$5:$D$554,2,0),"")</f>
        <v>DB1+9</v>
      </c>
      <c r="E202" s="732">
        <f>F162+1</f>
        <v>45903</v>
      </c>
      <c r="F202" s="732">
        <v>45920</v>
      </c>
      <c r="G202" s="64" t="s">
        <v>1499</v>
      </c>
      <c r="H202" s="557">
        <f t="shared" si="9"/>
        <v>66.780901</v>
      </c>
      <c r="I202" s="773">
        <f t="shared" si="10"/>
        <v>6.2218696967283993</v>
      </c>
      <c r="J202" s="64" t="s">
        <v>1143</v>
      </c>
      <c r="K202" s="1010" t="s">
        <v>255</v>
      </c>
      <c r="L202" s="1010" t="s">
        <v>1658</v>
      </c>
      <c r="M202" s="311" t="s">
        <v>1712</v>
      </c>
      <c r="N202" s="311" t="s">
        <v>1713</v>
      </c>
    </row>
    <row r="203" spans="1:14" s="311" customFormat="1" ht="15.5">
      <c r="A203" s="611">
        <f t="shared" si="11"/>
        <v>199</v>
      </c>
      <c r="B203" s="65">
        <v>43</v>
      </c>
      <c r="C203" s="1005" t="s">
        <v>192</v>
      </c>
      <c r="D203" s="65" t="str">
        <f>IFERROR(VLOOKUP(Erection!C203,Foundation!$C$5:$D$554,2,0),"")</f>
        <v>DA+3</v>
      </c>
      <c r="E203" s="732">
        <f>F189+1</f>
        <v>45916</v>
      </c>
      <c r="F203" s="732">
        <v>45920</v>
      </c>
      <c r="G203" s="64" t="s">
        <v>1497</v>
      </c>
      <c r="H203" s="557">
        <f t="shared" si="9"/>
        <v>37.931087999999995</v>
      </c>
      <c r="I203" s="773">
        <f t="shared" si="10"/>
        <v>3.5339787792191997</v>
      </c>
      <c r="J203" s="64" t="s">
        <v>1532</v>
      </c>
      <c r="K203" s="1010" t="s">
        <v>255</v>
      </c>
      <c r="L203" s="1007" t="s">
        <v>1658</v>
      </c>
      <c r="M203" s="311" t="s">
        <v>1696</v>
      </c>
      <c r="N203" s="311" t="s">
        <v>1697</v>
      </c>
    </row>
    <row r="204" spans="1:14" s="311" customFormat="1" ht="15.5">
      <c r="A204" s="611">
        <f t="shared" si="11"/>
        <v>200</v>
      </c>
      <c r="B204" s="65">
        <v>44</v>
      </c>
      <c r="C204" s="1005" t="s">
        <v>450</v>
      </c>
      <c r="D204" s="65" t="str">
        <f>IFERROR(VLOOKUP(Erection!C204,Foundation!$C$5:$D$554,2,0),"")</f>
        <v>DA+0</v>
      </c>
      <c r="E204" s="732">
        <v>45915</v>
      </c>
      <c r="F204" s="732">
        <v>45921</v>
      </c>
      <c r="G204" s="64" t="s">
        <v>1475</v>
      </c>
      <c r="H204" s="557">
        <f t="shared" si="9"/>
        <v>36.159755999999994</v>
      </c>
      <c r="I204" s="773">
        <f t="shared" si="10"/>
        <v>3.3689466109103994</v>
      </c>
      <c r="J204" s="64" t="s">
        <v>1094</v>
      </c>
      <c r="K204" s="1010" t="s">
        <v>255</v>
      </c>
      <c r="L204" s="1007" t="s">
        <v>1658</v>
      </c>
      <c r="M204" s="311" t="s">
        <v>1704</v>
      </c>
      <c r="N204" s="311" t="s">
        <v>1705</v>
      </c>
    </row>
    <row r="205" spans="1:14" s="311" customFormat="1" ht="15.5">
      <c r="A205" s="611">
        <f t="shared" si="11"/>
        <v>201</v>
      </c>
      <c r="B205" s="65">
        <v>45</v>
      </c>
      <c r="C205" s="1005" t="s">
        <v>443</v>
      </c>
      <c r="D205" s="65" t="str">
        <f>IFERROR(VLOOKUP(C205,Foundation!$C$5:$D$554,2,0),"")</f>
        <v>DA+3</v>
      </c>
      <c r="E205" s="732">
        <v>45914</v>
      </c>
      <c r="F205" s="732">
        <v>45922</v>
      </c>
      <c r="G205" s="64" t="s">
        <v>1523</v>
      </c>
      <c r="H205" s="557">
        <f t="shared" si="9"/>
        <v>37.931087999999995</v>
      </c>
      <c r="I205" s="773">
        <f t="shared" si="10"/>
        <v>3.5339787792191997</v>
      </c>
      <c r="J205" s="64" t="s">
        <v>1536</v>
      </c>
      <c r="K205" s="1010" t="s">
        <v>255</v>
      </c>
      <c r="L205" s="1010" t="s">
        <v>1658</v>
      </c>
      <c r="M205" s="311" t="s">
        <v>1696</v>
      </c>
      <c r="N205" s="311" t="s">
        <v>1697</v>
      </c>
    </row>
    <row r="206" spans="1:14" s="311" customFormat="1" ht="15.5">
      <c r="A206" s="611">
        <f t="shared" si="11"/>
        <v>202</v>
      </c>
      <c r="B206" s="65">
        <v>46</v>
      </c>
      <c r="C206" s="1005" t="s">
        <v>1256</v>
      </c>
      <c r="D206" s="65" t="str">
        <f>IFERROR(VLOOKUP(C206,Foundation!$C$5:$D$554,2,0),"")</f>
        <v>DA+3</v>
      </c>
      <c r="E206" s="732">
        <f>F190+1</f>
        <v>45916</v>
      </c>
      <c r="F206" s="732">
        <v>45923</v>
      </c>
      <c r="G206" s="64" t="s">
        <v>1493</v>
      </c>
      <c r="H206" s="557">
        <f t="shared" si="9"/>
        <v>37.931087999999995</v>
      </c>
      <c r="I206" s="773">
        <f t="shared" si="10"/>
        <v>3.5339787792191997</v>
      </c>
      <c r="J206" s="1057" t="s">
        <v>1495</v>
      </c>
      <c r="K206" s="1010" t="s">
        <v>255</v>
      </c>
      <c r="L206" s="1007" t="s">
        <v>1658</v>
      </c>
      <c r="M206" s="311" t="s">
        <v>1696</v>
      </c>
      <c r="N206" s="311" t="s">
        <v>1697</v>
      </c>
    </row>
    <row r="207" spans="1:14" s="311" customFormat="1" ht="15.5">
      <c r="A207" s="611">
        <f t="shared" si="11"/>
        <v>203</v>
      </c>
      <c r="B207" s="65">
        <v>47</v>
      </c>
      <c r="C207" s="1005" t="s">
        <v>1245</v>
      </c>
      <c r="D207" s="65" t="str">
        <f>IFERROR(VLOOKUP(C207,Foundation!$C$5:$D$554,2,0),"")</f>
        <v>DA+0</v>
      </c>
      <c r="E207" s="732">
        <v>45920</v>
      </c>
      <c r="F207" s="732">
        <v>45923</v>
      </c>
      <c r="G207" s="64" t="s">
        <v>1522</v>
      </c>
      <c r="H207" s="557">
        <f t="shared" si="9"/>
        <v>36.159755999999994</v>
      </c>
      <c r="I207" s="773">
        <f t="shared" si="10"/>
        <v>3.3689466109103994</v>
      </c>
      <c r="J207" s="1057" t="s">
        <v>1502</v>
      </c>
      <c r="K207" s="1010" t="s">
        <v>255</v>
      </c>
      <c r="L207" s="1007" t="s">
        <v>1658</v>
      </c>
      <c r="M207" s="311" t="s">
        <v>1704</v>
      </c>
      <c r="N207" s="311" t="s">
        <v>1705</v>
      </c>
    </row>
    <row r="208" spans="1:14" s="311" customFormat="1" ht="15.5">
      <c r="A208" s="611">
        <f t="shared" si="11"/>
        <v>204</v>
      </c>
      <c r="B208" s="65">
        <v>48</v>
      </c>
      <c r="C208" s="1005" t="s">
        <v>1264</v>
      </c>
      <c r="D208" s="65" t="str">
        <f>IFERROR(VLOOKUP(C208,Foundation!$C$5:$D$554,2,0),"")</f>
        <v>DA+0</v>
      </c>
      <c r="E208" s="732">
        <f>F193+1</f>
        <v>45916</v>
      </c>
      <c r="F208" s="732">
        <v>45924</v>
      </c>
      <c r="G208" s="64" t="s">
        <v>1490</v>
      </c>
      <c r="H208" s="557">
        <f t="shared" si="9"/>
        <v>36.159755999999994</v>
      </c>
      <c r="I208" s="773">
        <f t="shared" si="10"/>
        <v>3.3689466109103994</v>
      </c>
      <c r="J208" s="1057" t="s">
        <v>1531</v>
      </c>
      <c r="K208" s="1010" t="s">
        <v>255</v>
      </c>
      <c r="L208" s="1007" t="s">
        <v>1658</v>
      </c>
      <c r="M208" s="311" t="s">
        <v>1704</v>
      </c>
      <c r="N208" s="311" t="s">
        <v>1705</v>
      </c>
    </row>
    <row r="209" spans="1:14" s="311" customFormat="1" ht="15.5">
      <c r="A209" s="611">
        <f t="shared" si="11"/>
        <v>205</v>
      </c>
      <c r="B209" s="65">
        <v>49</v>
      </c>
      <c r="C209" s="1005" t="s">
        <v>892</v>
      </c>
      <c r="D209" s="65" t="str">
        <f>IFERROR(VLOOKUP(C209,Foundation!$C$5:$D$554,2,0),"")</f>
        <v>DB1+3</v>
      </c>
      <c r="E209" s="732">
        <v>45913</v>
      </c>
      <c r="F209" s="732">
        <v>45924</v>
      </c>
      <c r="G209" s="64" t="s">
        <v>1487</v>
      </c>
      <c r="H209" s="557">
        <f t="shared" si="9"/>
        <v>57.963171000000003</v>
      </c>
      <c r="I209" s="773">
        <f t="shared" si="10"/>
        <v>5.4003359009964012</v>
      </c>
      <c r="J209" s="1057" t="s">
        <v>1532</v>
      </c>
      <c r="K209" s="1010" t="s">
        <v>255</v>
      </c>
      <c r="L209" s="1007" t="s">
        <v>1658</v>
      </c>
      <c r="M209" s="311" t="s">
        <v>1714</v>
      </c>
      <c r="N209" s="311" t="s">
        <v>1715</v>
      </c>
    </row>
    <row r="210" spans="1:14" s="995" customFormat="1" ht="15.5">
      <c r="A210" s="611">
        <f t="shared" si="11"/>
        <v>206</v>
      </c>
      <c r="B210" s="727">
        <v>50</v>
      </c>
      <c r="C210" s="1005" t="s">
        <v>65</v>
      </c>
      <c r="D210" s="65" t="str">
        <f>IFERROR(VLOOKUP(C210,Foundation!$C$5:$D$554,2,0),"")</f>
        <v>DB1+0</v>
      </c>
      <c r="E210" s="732">
        <f>F182+1</f>
        <v>45911</v>
      </c>
      <c r="F210" s="732">
        <v>45925</v>
      </c>
      <c r="G210" s="64" t="s">
        <v>1530</v>
      </c>
      <c r="H210" s="557">
        <f t="shared" si="9"/>
        <v>55.450851000000007</v>
      </c>
      <c r="I210" s="773">
        <f t="shared" si="10"/>
        <v>5.1662670663084009</v>
      </c>
      <c r="J210" s="1057" t="s">
        <v>662</v>
      </c>
      <c r="K210" s="1010" t="s">
        <v>255</v>
      </c>
      <c r="L210" s="1007" t="s">
        <v>1658</v>
      </c>
      <c r="M210" s="995" t="s">
        <v>1716</v>
      </c>
      <c r="N210" s="995" t="s">
        <v>1717</v>
      </c>
    </row>
    <row r="211" spans="1:14" s="311" customFormat="1" ht="15.5">
      <c r="A211" s="611">
        <f t="shared" si="11"/>
        <v>207</v>
      </c>
      <c r="B211" s="65">
        <v>51</v>
      </c>
      <c r="C211" s="1005" t="s">
        <v>459</v>
      </c>
      <c r="D211" s="65" t="str">
        <f>IFERROR(VLOOKUP(C211,Foundation!$C$5:$D$554,2,0),"")</f>
        <v>DA+6</v>
      </c>
      <c r="E211" s="732">
        <f>F185+1</f>
        <v>45913</v>
      </c>
      <c r="F211" s="732">
        <v>45925</v>
      </c>
      <c r="G211" s="64" t="s">
        <v>1486</v>
      </c>
      <c r="H211" s="557">
        <f t="shared" si="9"/>
        <v>43.804423999999997</v>
      </c>
      <c r="I211" s="773">
        <f t="shared" si="10"/>
        <v>4.0811880970015997</v>
      </c>
      <c r="J211" s="1057" t="s">
        <v>1479</v>
      </c>
      <c r="K211" s="1010" t="s">
        <v>255</v>
      </c>
      <c r="L211" s="1007" t="s">
        <v>1658</v>
      </c>
      <c r="M211" s="311" t="s">
        <v>1694</v>
      </c>
      <c r="N211" s="311" t="s">
        <v>1695</v>
      </c>
    </row>
    <row r="212" spans="1:14" s="311" customFormat="1" ht="15.5">
      <c r="A212" s="611">
        <f t="shared" si="11"/>
        <v>208</v>
      </c>
      <c r="B212" s="65">
        <v>52</v>
      </c>
      <c r="C212" s="1005" t="s">
        <v>893</v>
      </c>
      <c r="D212" s="65" t="str">
        <f>IFERROR(VLOOKUP(C212,Foundation!$C$5:$D$554,2,0),"")</f>
        <v>DA+6</v>
      </c>
      <c r="E212" s="732">
        <v>45918</v>
      </c>
      <c r="F212" s="732">
        <v>45925</v>
      </c>
      <c r="G212" s="64" t="s">
        <v>1525</v>
      </c>
      <c r="H212" s="557">
        <f t="shared" si="9"/>
        <v>43.804423999999997</v>
      </c>
      <c r="I212" s="773">
        <f t="shared" si="10"/>
        <v>4.0811880970015997</v>
      </c>
      <c r="J212" s="1057" t="s">
        <v>1534</v>
      </c>
      <c r="K212" s="1010" t="s">
        <v>255</v>
      </c>
      <c r="L212" s="1007" t="s">
        <v>1658</v>
      </c>
      <c r="M212" s="311" t="s">
        <v>1694</v>
      </c>
      <c r="N212" s="311" t="s">
        <v>1695</v>
      </c>
    </row>
    <row r="213" spans="1:14" s="311" customFormat="1" ht="15.5">
      <c r="A213" s="611">
        <f t="shared" si="11"/>
        <v>209</v>
      </c>
      <c r="B213" s="65">
        <v>53</v>
      </c>
      <c r="C213" s="1005" t="s">
        <v>174</v>
      </c>
      <c r="D213" s="65" t="str">
        <f>IFERROR(VLOOKUP(C213,Foundation!$C$5:$D$554,2,0),"")</f>
        <v>DA-3</v>
      </c>
      <c r="E213" s="732">
        <v>45919</v>
      </c>
      <c r="F213" s="732">
        <v>45925</v>
      </c>
      <c r="G213" s="64" t="s">
        <v>1498</v>
      </c>
      <c r="H213" s="557">
        <f t="shared" si="9"/>
        <v>34.789810000000003</v>
      </c>
      <c r="I213" s="773">
        <f t="shared" si="10"/>
        <v>3.2413109340040003</v>
      </c>
      <c r="J213" s="1057" t="s">
        <v>1017</v>
      </c>
      <c r="K213" s="1010" t="s">
        <v>255</v>
      </c>
      <c r="L213" s="1007" t="s">
        <v>1658</v>
      </c>
      <c r="M213" s="311" t="s">
        <v>1706</v>
      </c>
      <c r="N213" s="311" t="s">
        <v>1707</v>
      </c>
    </row>
    <row r="214" spans="1:14" s="311" customFormat="1" ht="15.5">
      <c r="A214" s="611">
        <f t="shared" si="11"/>
        <v>210</v>
      </c>
      <c r="B214" s="65">
        <v>54</v>
      </c>
      <c r="C214" s="1005" t="s">
        <v>193</v>
      </c>
      <c r="D214" s="65" t="str">
        <f>IFERROR(VLOOKUP(C214,Foundation!$C$5:$D$554,2,0),"")</f>
        <v>DA+1.5</v>
      </c>
      <c r="E214" s="732">
        <v>45921</v>
      </c>
      <c r="F214" s="732">
        <v>45925</v>
      </c>
      <c r="G214" s="64" t="s">
        <v>1497</v>
      </c>
      <c r="H214" s="557">
        <f t="shared" si="9"/>
        <v>37.138323999999997</v>
      </c>
      <c r="I214" s="773">
        <f t="shared" si="10"/>
        <v>3.4601182257615997</v>
      </c>
      <c r="J214" s="1057" t="s">
        <v>1500</v>
      </c>
      <c r="K214" s="1010" t="s">
        <v>255</v>
      </c>
      <c r="L214" s="1007" t="s">
        <v>1658</v>
      </c>
      <c r="M214" s="311" t="s">
        <v>1700</v>
      </c>
      <c r="N214" s="311" t="s">
        <v>1701</v>
      </c>
    </row>
    <row r="215" spans="1:14" s="311" customFormat="1" ht="15.5">
      <c r="A215" s="611">
        <f t="shared" si="11"/>
        <v>211</v>
      </c>
      <c r="B215" s="65">
        <v>55</v>
      </c>
      <c r="C215" s="1005" t="s">
        <v>266</v>
      </c>
      <c r="D215" s="65" t="str">
        <f>IFERROR(VLOOKUP(C215,Foundation!$C$5:$D$554,2,0),"")</f>
        <v>DB1+9</v>
      </c>
      <c r="E215" s="732">
        <v>45911</v>
      </c>
      <c r="F215" s="732">
        <v>45926</v>
      </c>
      <c r="G215" s="64" t="s">
        <v>1527</v>
      </c>
      <c r="H215" s="557">
        <f t="shared" si="9"/>
        <v>66.780901</v>
      </c>
      <c r="I215" s="773">
        <f t="shared" si="10"/>
        <v>6.2218696967283993</v>
      </c>
      <c r="J215" s="1057" t="s">
        <v>1528</v>
      </c>
      <c r="K215" s="1010" t="s">
        <v>255</v>
      </c>
      <c r="L215" s="1007" t="s">
        <v>1658</v>
      </c>
      <c r="M215" s="311" t="s">
        <v>1712</v>
      </c>
      <c r="N215" s="311" t="s">
        <v>1713</v>
      </c>
    </row>
    <row r="216" spans="1:14" s="311" customFormat="1" ht="15.5">
      <c r="A216" s="611">
        <f t="shared" si="11"/>
        <v>212</v>
      </c>
      <c r="B216" s="65">
        <v>56</v>
      </c>
      <c r="C216" s="1005" t="s">
        <v>1261</v>
      </c>
      <c r="D216" s="65" t="str">
        <f>IFERROR(VLOOKUP(C216,Foundation!$C$5:$D$554,2,0),"")</f>
        <v>DA+0</v>
      </c>
      <c r="E216" s="732">
        <v>45920</v>
      </c>
      <c r="F216" s="732">
        <v>45927</v>
      </c>
      <c r="G216" s="64" t="s">
        <v>1489</v>
      </c>
      <c r="H216" s="557">
        <f t="shared" si="9"/>
        <v>36.159755999999994</v>
      </c>
      <c r="I216" s="773">
        <f t="shared" si="10"/>
        <v>3.3689466109103994</v>
      </c>
      <c r="J216" s="1057" t="s">
        <v>1150</v>
      </c>
      <c r="K216" s="1010" t="s">
        <v>255</v>
      </c>
      <c r="L216" s="1007" t="s">
        <v>1658</v>
      </c>
      <c r="M216" s="311" t="s">
        <v>1704</v>
      </c>
      <c r="N216" s="311" t="s">
        <v>1705</v>
      </c>
    </row>
    <row r="217" spans="1:14" s="311" customFormat="1" ht="15.5">
      <c r="A217" s="611">
        <f t="shared" si="11"/>
        <v>213</v>
      </c>
      <c r="B217" s="65">
        <v>57</v>
      </c>
      <c r="C217" s="1005" t="s">
        <v>650</v>
      </c>
      <c r="D217" s="65" t="str">
        <f>IFERROR(VLOOKUP(C217,Foundation!$C$5:$D$554,2,0),"")</f>
        <v>DA+0</v>
      </c>
      <c r="E217" s="732">
        <v>45924</v>
      </c>
      <c r="F217" s="732">
        <v>45928</v>
      </c>
      <c r="G217" s="64" t="s">
        <v>1522</v>
      </c>
      <c r="H217" s="557">
        <f t="shared" si="9"/>
        <v>36.159755999999994</v>
      </c>
      <c r="I217" s="773">
        <f t="shared" si="10"/>
        <v>3.3689466109103994</v>
      </c>
      <c r="J217" s="1057" t="s">
        <v>1502</v>
      </c>
      <c r="K217" s="1010" t="s">
        <v>255</v>
      </c>
      <c r="L217" s="1007" t="s">
        <v>1658</v>
      </c>
      <c r="M217" s="311" t="s">
        <v>1704</v>
      </c>
      <c r="N217" s="311" t="s">
        <v>1705</v>
      </c>
    </row>
    <row r="218" spans="1:14" s="311" customFormat="1" ht="15.5">
      <c r="A218" s="611">
        <f t="shared" si="11"/>
        <v>214</v>
      </c>
      <c r="B218" s="65">
        <v>58</v>
      </c>
      <c r="C218" s="1005" t="s">
        <v>7</v>
      </c>
      <c r="D218" s="65" t="str">
        <f>IFERROR(VLOOKUP(C218,Foundation!$C$5:$D$554,2,0),"")</f>
        <v>DB1+6</v>
      </c>
      <c r="E218" s="732">
        <v>45920</v>
      </c>
      <c r="F218" s="732">
        <v>45929</v>
      </c>
      <c r="G218" s="64" t="s">
        <v>1483</v>
      </c>
      <c r="H218" s="557">
        <f t="shared" si="9"/>
        <v>65.027778999999995</v>
      </c>
      <c r="I218" s="773">
        <f t="shared" si="10"/>
        <v>6.0585341249835993</v>
      </c>
      <c r="J218" s="1057" t="s">
        <v>1537</v>
      </c>
      <c r="K218" s="1010" t="s">
        <v>255</v>
      </c>
      <c r="L218" s="1007" t="s">
        <v>1658</v>
      </c>
      <c r="M218" s="311" t="s">
        <v>1718</v>
      </c>
      <c r="N218" s="311" t="s">
        <v>1719</v>
      </c>
    </row>
    <row r="219" spans="1:14" s="311" customFormat="1" ht="15.5">
      <c r="A219" s="611">
        <f t="shared" si="11"/>
        <v>215</v>
      </c>
      <c r="B219" s="65">
        <v>59</v>
      </c>
      <c r="C219" s="1005" t="s">
        <v>638</v>
      </c>
      <c r="D219" s="65" t="str">
        <f>IFERROR(VLOOKUP(C219,Foundation!$C$5:$D$554,2,0),"")</f>
        <v>DA+9</v>
      </c>
      <c r="E219" s="732">
        <v>45921</v>
      </c>
      <c r="F219" s="732">
        <v>45929</v>
      </c>
      <c r="G219" s="64" t="s">
        <v>1524</v>
      </c>
      <c r="H219" s="557">
        <f t="shared" si="9"/>
        <v>45.697022000000004</v>
      </c>
      <c r="I219" s="773">
        <f t="shared" si="10"/>
        <v>4.2575184245048003</v>
      </c>
      <c r="J219" s="1057" t="s">
        <v>1491</v>
      </c>
      <c r="K219" s="1010" t="s">
        <v>255</v>
      </c>
      <c r="L219" s="1007" t="s">
        <v>1658</v>
      </c>
      <c r="M219" s="311" t="s">
        <v>1702</v>
      </c>
      <c r="N219" s="311" t="s">
        <v>1703</v>
      </c>
    </row>
    <row r="220" spans="1:14" s="311" customFormat="1" ht="15.5">
      <c r="A220" s="611">
        <f t="shared" si="11"/>
        <v>216</v>
      </c>
      <c r="B220" s="65">
        <v>60</v>
      </c>
      <c r="C220" s="1005" t="s">
        <v>257</v>
      </c>
      <c r="D220" s="65" t="str">
        <f>IFERROR(VLOOKUP(C220,Foundation!$C$5:$D$554,2,0),"")</f>
        <v>DB1+6</v>
      </c>
      <c r="E220" s="732">
        <v>45919</v>
      </c>
      <c r="F220" s="732">
        <v>45930</v>
      </c>
      <c r="G220" s="64" t="s">
        <v>1526</v>
      </c>
      <c r="H220" s="557">
        <f t="shared" si="9"/>
        <v>65.027778999999995</v>
      </c>
      <c r="I220" s="773">
        <f t="shared" si="10"/>
        <v>6.0585341249835993</v>
      </c>
      <c r="J220" s="1057" t="s">
        <v>1480</v>
      </c>
      <c r="K220" s="1010" t="s">
        <v>255</v>
      </c>
      <c r="L220" s="1007" t="s">
        <v>1658</v>
      </c>
      <c r="M220" s="311" t="s">
        <v>1718</v>
      </c>
      <c r="N220" s="311" t="s">
        <v>1719</v>
      </c>
    </row>
    <row r="221" spans="1:14" s="311" customFormat="1" ht="15.5">
      <c r="A221" s="611">
        <f t="shared" si="11"/>
        <v>217</v>
      </c>
      <c r="B221" s="65">
        <v>61</v>
      </c>
      <c r="C221" s="1005" t="s">
        <v>175</v>
      </c>
      <c r="D221" s="65" t="str">
        <f>IFERROR(VLOOKUP(C221,Foundation!$C$5:$D$554,2,0),"")</f>
        <v>DA-3</v>
      </c>
      <c r="E221" s="732">
        <v>45926</v>
      </c>
      <c r="F221" s="732">
        <v>45930</v>
      </c>
      <c r="G221" s="64" t="s">
        <v>1498</v>
      </c>
      <c r="H221" s="557">
        <f t="shared" si="9"/>
        <v>34.789810000000003</v>
      </c>
      <c r="I221" s="773">
        <f t="shared" si="10"/>
        <v>3.2413109340040003</v>
      </c>
      <c r="J221" s="64" t="s">
        <v>1534</v>
      </c>
      <c r="K221" s="1010" t="s">
        <v>255</v>
      </c>
      <c r="L221" s="1007" t="s">
        <v>1658</v>
      </c>
      <c r="M221" s="311" t="s">
        <v>1706</v>
      </c>
      <c r="N221" s="311" t="s">
        <v>1707</v>
      </c>
    </row>
    <row r="222" spans="1:14" s="311" customFormat="1" ht="15.5">
      <c r="A222" s="611">
        <f t="shared" si="11"/>
        <v>218</v>
      </c>
      <c r="B222" s="65">
        <v>62</v>
      </c>
      <c r="C222" s="1005" t="s">
        <v>254</v>
      </c>
      <c r="D222" s="65" t="str">
        <f>IFERROR(VLOOKUP(C222,Foundation!$C$5:$D$554,2,0),"")</f>
        <v>DA+6</v>
      </c>
      <c r="E222" s="732">
        <v>45926</v>
      </c>
      <c r="F222" s="732">
        <v>45930</v>
      </c>
      <c r="G222" s="64" t="s">
        <v>1497</v>
      </c>
      <c r="H222" s="557">
        <f t="shared" si="9"/>
        <v>43.804423999999997</v>
      </c>
      <c r="I222" s="773">
        <f t="shared" si="10"/>
        <v>4.0811880970015997</v>
      </c>
      <c r="J222" s="64" t="s">
        <v>1538</v>
      </c>
      <c r="K222" s="1010" t="s">
        <v>255</v>
      </c>
      <c r="L222" s="1007" t="s">
        <v>1658</v>
      </c>
      <c r="M222" s="311" t="s">
        <v>1694</v>
      </c>
      <c r="N222" s="311" t="s">
        <v>1695</v>
      </c>
    </row>
    <row r="223" spans="1:14" s="311" customFormat="1" ht="15.5">
      <c r="A223" s="611">
        <f t="shared" si="11"/>
        <v>219</v>
      </c>
      <c r="B223" s="65">
        <v>63</v>
      </c>
      <c r="C223" s="1005" t="s">
        <v>1257</v>
      </c>
      <c r="D223" s="65" t="str">
        <f>IFERROR(VLOOKUP(C223,Foundation!$C$5:$D$554,2,0),"")</f>
        <v>DA+6</v>
      </c>
      <c r="E223" s="732">
        <v>45924</v>
      </c>
      <c r="F223" s="732">
        <v>45930</v>
      </c>
      <c r="G223" s="64" t="s">
        <v>1493</v>
      </c>
      <c r="H223" s="557">
        <f t="shared" si="9"/>
        <v>43.804423999999997</v>
      </c>
      <c r="I223" s="773">
        <f t="shared" si="10"/>
        <v>4.0811880970015997</v>
      </c>
      <c r="J223" s="1057" t="s">
        <v>1500</v>
      </c>
      <c r="K223" s="1010" t="s">
        <v>255</v>
      </c>
      <c r="L223" s="1007" t="s">
        <v>1658</v>
      </c>
      <c r="M223" s="311" t="s">
        <v>1694</v>
      </c>
      <c r="N223" s="311" t="s">
        <v>1695</v>
      </c>
    </row>
    <row r="224" spans="1:14" s="311" customFormat="1" ht="15.5">
      <c r="A224" s="611">
        <f t="shared" si="11"/>
        <v>220</v>
      </c>
      <c r="B224" s="65">
        <v>64</v>
      </c>
      <c r="C224" s="1005" t="s">
        <v>461</v>
      </c>
      <c r="D224" s="65" t="str">
        <f>IFERROR(VLOOKUP(C224,Foundation!$C$5:$D$554,2,0),"")</f>
        <v>DA+9</v>
      </c>
      <c r="E224" s="732">
        <f>F175+1</f>
        <v>45909</v>
      </c>
      <c r="F224" s="732">
        <v>45930</v>
      </c>
      <c r="G224" s="64" t="s">
        <v>1494</v>
      </c>
      <c r="H224" s="557">
        <f t="shared" si="9"/>
        <v>45.697022000000004</v>
      </c>
      <c r="I224" s="773">
        <f t="shared" si="10"/>
        <v>4.2575184245048003</v>
      </c>
      <c r="J224" s="1057" t="s">
        <v>1150</v>
      </c>
      <c r="K224" s="1010" t="s">
        <v>255</v>
      </c>
      <c r="L224" s="1007" t="s">
        <v>1658</v>
      </c>
      <c r="M224" s="311" t="s">
        <v>1702</v>
      </c>
      <c r="N224" s="311" t="s">
        <v>1703</v>
      </c>
    </row>
    <row r="225" spans="1:14" s="311" customFormat="1" ht="15.5">
      <c r="A225" s="611">
        <f t="shared" si="11"/>
        <v>221</v>
      </c>
      <c r="B225" s="65">
        <v>65</v>
      </c>
      <c r="C225" s="1005" t="s">
        <v>460</v>
      </c>
      <c r="D225" s="65" t="str">
        <f>IFERROR(VLOOKUP(C225,Foundation!$C$5:$D$554,2,0),"")</f>
        <v>DA+9</v>
      </c>
      <c r="E225" s="732">
        <v>45926</v>
      </c>
      <c r="F225" s="732">
        <v>45930</v>
      </c>
      <c r="G225" s="64" t="s">
        <v>1486</v>
      </c>
      <c r="H225" s="557">
        <f t="shared" si="9"/>
        <v>45.697022000000004</v>
      </c>
      <c r="I225" s="773">
        <f t="shared" si="10"/>
        <v>4.2575184245048003</v>
      </c>
      <c r="J225" s="64" t="s">
        <v>1479</v>
      </c>
      <c r="K225" s="1010" t="s">
        <v>255</v>
      </c>
      <c r="L225" s="1007" t="s">
        <v>1658</v>
      </c>
      <c r="M225" s="311" t="s">
        <v>1702</v>
      </c>
      <c r="N225" s="311" t="s">
        <v>1703</v>
      </c>
    </row>
    <row r="226" spans="1:14" s="311" customFormat="1" ht="15.5">
      <c r="A226" s="611">
        <f t="shared" si="11"/>
        <v>222</v>
      </c>
      <c r="B226" s="65">
        <v>4</v>
      </c>
      <c r="C226" s="1005" t="s">
        <v>437</v>
      </c>
      <c r="D226" s="65" t="str">
        <f>IFERROR(VLOOKUP(C226,Foundation!$C$5:$D$554,2,0),"")</f>
        <v>DA+9</v>
      </c>
      <c r="E226" s="732">
        <v>45924</v>
      </c>
      <c r="F226" s="732">
        <v>45934</v>
      </c>
      <c r="G226" s="64" t="s">
        <v>1484</v>
      </c>
      <c r="H226" s="557">
        <f t="shared" si="9"/>
        <v>45.697022000000004</v>
      </c>
      <c r="I226" s="773">
        <f t="shared" si="10"/>
        <v>4.2575184245048003</v>
      </c>
      <c r="J226" s="1057" t="s">
        <v>1173</v>
      </c>
      <c r="K226" s="1010" t="s">
        <v>255</v>
      </c>
      <c r="L226" s="1007" t="s">
        <v>1658</v>
      </c>
      <c r="M226" s="311" t="s">
        <v>1702</v>
      </c>
      <c r="N226" s="311" t="s">
        <v>1703</v>
      </c>
    </row>
    <row r="227" spans="1:14" s="311" customFormat="1" ht="15.5">
      <c r="A227" s="611">
        <f t="shared" si="11"/>
        <v>223</v>
      </c>
      <c r="B227" s="65">
        <v>5</v>
      </c>
      <c r="C227" s="1005" t="s">
        <v>76</v>
      </c>
      <c r="D227" s="65" t="str">
        <f>IFERROR(VLOOKUP(C227,Foundation!$C$5:$D$554,2,0),"")</f>
        <v>DA+9</v>
      </c>
      <c r="E227" s="732">
        <v>45924</v>
      </c>
      <c r="F227" s="732">
        <v>45934</v>
      </c>
      <c r="G227" s="64" t="s">
        <v>1499</v>
      </c>
      <c r="H227" s="557">
        <f t="shared" ref="H227:H292" si="12">VLOOKUP(D227,$D$316:$I$345,6,0)</f>
        <v>45.697022000000004</v>
      </c>
      <c r="I227" s="773">
        <f t="shared" si="10"/>
        <v>4.2575184245048003</v>
      </c>
      <c r="J227" s="64" t="s">
        <v>1094</v>
      </c>
      <c r="K227" s="1010" t="s">
        <v>255</v>
      </c>
      <c r="L227" s="1010" t="s">
        <v>1658</v>
      </c>
      <c r="M227" s="311" t="s">
        <v>1702</v>
      </c>
      <c r="N227" s="311" t="s">
        <v>1703</v>
      </c>
    </row>
    <row r="228" spans="1:14" s="311" customFormat="1" ht="15.5">
      <c r="A228" s="611">
        <f t="shared" si="11"/>
        <v>224</v>
      </c>
      <c r="B228" s="65">
        <v>6</v>
      </c>
      <c r="C228" s="1005" t="s">
        <v>905</v>
      </c>
      <c r="D228" s="65" t="str">
        <f>IFERROR(VLOOKUP(C228,Foundation!$C$5:$D$554,2,0),"")</f>
        <v>DA+6</v>
      </c>
      <c r="E228" s="732">
        <v>45926</v>
      </c>
      <c r="F228" s="732">
        <v>45934</v>
      </c>
      <c r="G228" s="64" t="s">
        <v>1530</v>
      </c>
      <c r="H228" s="557">
        <f t="shared" si="12"/>
        <v>43.804423999999997</v>
      </c>
      <c r="I228" s="773">
        <f t="shared" si="10"/>
        <v>4.0811880970015997</v>
      </c>
      <c r="J228" s="64" t="s">
        <v>662</v>
      </c>
      <c r="K228" s="1010" t="s">
        <v>255</v>
      </c>
      <c r="L228" s="1007" t="s">
        <v>1658</v>
      </c>
      <c r="M228" s="311" t="s">
        <v>1694</v>
      </c>
      <c r="N228" s="311" t="s">
        <v>1695</v>
      </c>
    </row>
    <row r="229" spans="1:14" s="311" customFormat="1" ht="15.5">
      <c r="A229" s="611">
        <f t="shared" si="11"/>
        <v>225</v>
      </c>
      <c r="B229" s="65">
        <v>7</v>
      </c>
      <c r="C229" s="1005" t="s">
        <v>421</v>
      </c>
      <c r="D229" s="65" t="str">
        <f>IFERROR(VLOOKUP(C229,Foundation!$C$5:$D$554,2,0),"")</f>
        <v>DA+1.5</v>
      </c>
      <c r="E229" s="732">
        <v>45927</v>
      </c>
      <c r="F229" s="732">
        <v>45934</v>
      </c>
      <c r="G229" s="64" t="s">
        <v>1527</v>
      </c>
      <c r="H229" s="557">
        <f t="shared" si="12"/>
        <v>37.138323999999997</v>
      </c>
      <c r="I229" s="773">
        <f t="shared" si="10"/>
        <v>3.4601182257615997</v>
      </c>
      <c r="J229" s="64" t="s">
        <v>1528</v>
      </c>
      <c r="K229" s="1010" t="s">
        <v>255</v>
      </c>
      <c r="L229" s="1010" t="s">
        <v>1658</v>
      </c>
      <c r="M229" s="311" t="s">
        <v>1700</v>
      </c>
      <c r="N229" s="311" t="s">
        <v>1701</v>
      </c>
    </row>
    <row r="230" spans="1:14" s="311" customFormat="1" ht="15.5">
      <c r="A230" s="611">
        <f t="shared" si="11"/>
        <v>226</v>
      </c>
      <c r="B230" s="65">
        <v>8</v>
      </c>
      <c r="C230" s="1005" t="s">
        <v>253</v>
      </c>
      <c r="D230" s="65" t="str">
        <f>IFERROR(VLOOKUP(C230,Foundation!$C$5:$D$554,2,0),"")</f>
        <v>DA-3</v>
      </c>
      <c r="E230" s="732">
        <v>45931</v>
      </c>
      <c r="F230" s="732">
        <v>45936</v>
      </c>
      <c r="G230" s="64" t="s">
        <v>1497</v>
      </c>
      <c r="H230" s="557">
        <f t="shared" si="12"/>
        <v>34.789810000000003</v>
      </c>
      <c r="I230" s="773">
        <f t="shared" si="10"/>
        <v>3.2413109340040003</v>
      </c>
      <c r="J230" s="64" t="s">
        <v>1544</v>
      </c>
      <c r="K230" s="1010" t="s">
        <v>255</v>
      </c>
      <c r="L230" s="1007" t="s">
        <v>1658</v>
      </c>
      <c r="M230" s="311" t="s">
        <v>1706</v>
      </c>
      <c r="N230" s="311" t="s">
        <v>1707</v>
      </c>
    </row>
    <row r="231" spans="1:14" s="311" customFormat="1" ht="15.5">
      <c r="A231" s="611">
        <f t="shared" si="11"/>
        <v>227</v>
      </c>
      <c r="B231" s="65">
        <v>9</v>
      </c>
      <c r="C231" s="1005" t="s">
        <v>1267</v>
      </c>
      <c r="D231" s="65" t="str">
        <f>IFERROR(VLOOKUP(C231,Foundation!$C$5:$D$554,2,0),"")</f>
        <v>DA+9</v>
      </c>
      <c r="E231" s="732">
        <v>45926</v>
      </c>
      <c r="F231" s="732">
        <v>45937</v>
      </c>
      <c r="G231" s="64" t="s">
        <v>1525</v>
      </c>
      <c r="H231" s="557">
        <f t="shared" si="12"/>
        <v>45.697022000000004</v>
      </c>
      <c r="I231" s="773">
        <f t="shared" si="10"/>
        <v>4.2575184245048003</v>
      </c>
      <c r="J231" s="64" t="s">
        <v>1480</v>
      </c>
      <c r="K231" s="1010" t="s">
        <v>255</v>
      </c>
      <c r="L231" s="1010" t="s">
        <v>1658</v>
      </c>
      <c r="M231" s="311" t="s">
        <v>1702</v>
      </c>
      <c r="N231" s="311" t="s">
        <v>1703</v>
      </c>
    </row>
    <row r="232" spans="1:14" s="311" customFormat="1" ht="15.5">
      <c r="A232" s="611">
        <f t="shared" si="11"/>
        <v>228</v>
      </c>
      <c r="B232" s="65">
        <v>10</v>
      </c>
      <c r="C232" s="1005" t="s">
        <v>1246</v>
      </c>
      <c r="D232" s="65" t="str">
        <f>IFERROR(VLOOKUP(C232,Foundation!$C$5:$D$554,2,0),"")</f>
        <v>DB1+9</v>
      </c>
      <c r="E232" s="732">
        <v>45928</v>
      </c>
      <c r="F232" s="732">
        <v>45939</v>
      </c>
      <c r="G232" s="64" t="s">
        <v>1522</v>
      </c>
      <c r="H232" s="557">
        <f t="shared" si="12"/>
        <v>66.780901</v>
      </c>
      <c r="I232" s="773">
        <f t="shared" si="10"/>
        <v>6.2218696967283993</v>
      </c>
      <c r="J232" s="64" t="s">
        <v>1502</v>
      </c>
      <c r="K232" s="1010" t="s">
        <v>255</v>
      </c>
      <c r="L232" s="1007" t="s">
        <v>1658</v>
      </c>
      <c r="M232" s="311" t="s">
        <v>1712</v>
      </c>
      <c r="N232" s="311" t="s">
        <v>1713</v>
      </c>
    </row>
    <row r="233" spans="1:14" s="311" customFormat="1" ht="15.5">
      <c r="A233" s="611">
        <f t="shared" si="11"/>
        <v>229</v>
      </c>
      <c r="B233" s="65">
        <v>11</v>
      </c>
      <c r="C233" s="1005" t="s">
        <v>637</v>
      </c>
      <c r="D233" s="65" t="str">
        <f>IFERROR(VLOOKUP(C233,Foundation!$C$5:$D$554,2,0),"")</f>
        <v>DA+3</v>
      </c>
      <c r="E233" s="732">
        <f>F219+1</f>
        <v>45930</v>
      </c>
      <c r="F233" s="732">
        <v>45939</v>
      </c>
      <c r="G233" s="64" t="s">
        <v>1524</v>
      </c>
      <c r="H233" s="557">
        <f t="shared" si="12"/>
        <v>37.931087999999995</v>
      </c>
      <c r="I233" s="773">
        <f t="shared" si="10"/>
        <v>3.5339787792191997</v>
      </c>
      <c r="J233" s="64" t="s">
        <v>1491</v>
      </c>
      <c r="K233" s="1010" t="s">
        <v>255</v>
      </c>
      <c r="L233" s="1007" t="s">
        <v>1658</v>
      </c>
      <c r="M233" s="311" t="s">
        <v>1696</v>
      </c>
      <c r="N233" s="311" t="s">
        <v>1697</v>
      </c>
    </row>
    <row r="234" spans="1:14" s="311" customFormat="1" ht="15.5">
      <c r="A234" s="611">
        <f t="shared" si="11"/>
        <v>230</v>
      </c>
      <c r="B234" s="65">
        <v>12</v>
      </c>
      <c r="C234" s="1005" t="s">
        <v>904</v>
      </c>
      <c r="D234" s="65" t="str">
        <f>IFERROR(VLOOKUP(C234,Foundation!$C$5:$D$554,2,0),"")</f>
        <v>DA+3</v>
      </c>
      <c r="E234" s="732">
        <v>45935</v>
      </c>
      <c r="F234" s="732">
        <v>45940</v>
      </c>
      <c r="G234" s="64" t="s">
        <v>1530</v>
      </c>
      <c r="H234" s="557">
        <f t="shared" si="12"/>
        <v>37.931087999999995</v>
      </c>
      <c r="I234" s="773">
        <f t="shared" si="10"/>
        <v>3.5339787792191997</v>
      </c>
      <c r="J234" s="64" t="s">
        <v>662</v>
      </c>
      <c r="K234" s="1010" t="s">
        <v>255</v>
      </c>
      <c r="L234" s="1007" t="s">
        <v>1658</v>
      </c>
      <c r="M234" s="311" t="s">
        <v>1696</v>
      </c>
      <c r="N234" s="311" t="s">
        <v>1697</v>
      </c>
    </row>
    <row r="235" spans="1:14" s="311" customFormat="1" ht="15.5">
      <c r="A235" s="611">
        <f t="shared" si="11"/>
        <v>231</v>
      </c>
      <c r="B235" s="65">
        <v>13</v>
      </c>
      <c r="C235" s="1005" t="s">
        <v>1262</v>
      </c>
      <c r="D235" s="65" t="str">
        <f>IFERROR(VLOOKUP(C235,Foundation!$C$5:$D$554,2,0),"")</f>
        <v>DA+0</v>
      </c>
      <c r="E235" s="732">
        <v>45931</v>
      </c>
      <c r="F235" s="732">
        <v>45940</v>
      </c>
      <c r="G235" s="64" t="s">
        <v>1493</v>
      </c>
      <c r="H235" s="557">
        <f t="shared" si="12"/>
        <v>36.159755999999994</v>
      </c>
      <c r="I235" s="773">
        <f t="shared" si="10"/>
        <v>3.3689466109103994</v>
      </c>
      <c r="J235" s="64" t="s">
        <v>1541</v>
      </c>
      <c r="K235" s="1010" t="s">
        <v>255</v>
      </c>
      <c r="L235" s="1007" t="s">
        <v>1658</v>
      </c>
      <c r="M235" s="311" t="s">
        <v>1704</v>
      </c>
      <c r="N235" s="311" t="s">
        <v>1705</v>
      </c>
    </row>
    <row r="236" spans="1:14" s="311" customFormat="1" ht="15.5">
      <c r="A236" s="611">
        <f t="shared" si="11"/>
        <v>232</v>
      </c>
      <c r="B236" s="65">
        <v>14</v>
      </c>
      <c r="C236" s="1005" t="s">
        <v>252</v>
      </c>
      <c r="D236" s="65" t="str">
        <f>IFERROR(VLOOKUP(C236,Foundation!$C$5:$D$554,2,0),"")</f>
        <v>DA+0</v>
      </c>
      <c r="E236" s="732">
        <v>45937</v>
      </c>
      <c r="F236" s="732">
        <v>45940</v>
      </c>
      <c r="G236" s="64" t="s">
        <v>1497</v>
      </c>
      <c r="H236" s="557">
        <f t="shared" si="12"/>
        <v>36.159755999999994</v>
      </c>
      <c r="I236" s="773">
        <f t="shared" si="10"/>
        <v>3.3689466109103994</v>
      </c>
      <c r="J236" s="64" t="s">
        <v>1538</v>
      </c>
      <c r="K236" s="1010" t="s">
        <v>255</v>
      </c>
      <c r="L236" s="1007" t="s">
        <v>1658</v>
      </c>
      <c r="M236" s="311" t="s">
        <v>1704</v>
      </c>
      <c r="N236" s="311" t="s">
        <v>1705</v>
      </c>
    </row>
    <row r="237" spans="1:14" s="311" customFormat="1" ht="15.5">
      <c r="A237" s="611">
        <f t="shared" si="11"/>
        <v>233</v>
      </c>
      <c r="B237" s="65">
        <v>15</v>
      </c>
      <c r="C237" s="1005" t="s">
        <v>1265</v>
      </c>
      <c r="D237" s="65" t="str">
        <f>IFERROR(VLOOKUP(C237,Foundation!$C$5:$D$554,2,0),"")</f>
        <v>DB1+9</v>
      </c>
      <c r="E237" s="732">
        <v>45925</v>
      </c>
      <c r="F237" s="732">
        <v>45942</v>
      </c>
      <c r="G237" s="64" t="s">
        <v>1490</v>
      </c>
      <c r="H237" s="557">
        <f t="shared" si="12"/>
        <v>66.780901</v>
      </c>
      <c r="I237" s="773">
        <f t="shared" si="10"/>
        <v>6.2218696967283993</v>
      </c>
      <c r="J237" s="64" t="s">
        <v>1531</v>
      </c>
      <c r="K237" s="1010" t="s">
        <v>255</v>
      </c>
      <c r="L237" s="1007" t="s">
        <v>1658</v>
      </c>
      <c r="M237" s="311" t="s">
        <v>1712</v>
      </c>
      <c r="N237" s="311" t="s">
        <v>1713</v>
      </c>
    </row>
    <row r="238" spans="1:14" s="311" customFormat="1" ht="15.5">
      <c r="A238" s="611">
        <f t="shared" si="11"/>
        <v>234</v>
      </c>
      <c r="B238" s="65">
        <v>16</v>
      </c>
      <c r="C238" s="1005" t="s">
        <v>256</v>
      </c>
      <c r="D238" s="65" t="str">
        <f>IFERROR(VLOOKUP(C238,Foundation!$C$5:$D$554,2,0),"")</f>
        <v>DB2+9</v>
      </c>
      <c r="E238" s="732">
        <v>45925</v>
      </c>
      <c r="F238" s="732">
        <v>45942</v>
      </c>
      <c r="G238" s="64" t="s">
        <v>1487</v>
      </c>
      <c r="H238" s="557">
        <f t="shared" si="12"/>
        <v>72.155540000000002</v>
      </c>
      <c r="I238" s="773">
        <f t="shared" si="10"/>
        <v>6.7226162129360008</v>
      </c>
      <c r="J238" s="64" t="s">
        <v>1532</v>
      </c>
      <c r="K238" s="1010" t="s">
        <v>255</v>
      </c>
      <c r="L238" s="1007" t="s">
        <v>1658</v>
      </c>
      <c r="M238" s="311" t="s">
        <v>1720</v>
      </c>
      <c r="N238" s="311" t="s">
        <v>1721</v>
      </c>
    </row>
    <row r="239" spans="1:14" s="311" customFormat="1" ht="15.5">
      <c r="A239" s="611">
        <f t="shared" si="11"/>
        <v>235</v>
      </c>
      <c r="B239" s="65">
        <v>17</v>
      </c>
      <c r="C239" s="1005" t="s">
        <v>1247</v>
      </c>
      <c r="D239" s="65" t="str">
        <f>IFERROR(VLOOKUP(C239,Foundation!$C$5:$D$554,2,0),"")</f>
        <v>DB1+12</v>
      </c>
      <c r="E239" s="732">
        <f>F218+1</f>
        <v>45930</v>
      </c>
      <c r="F239" s="732">
        <v>45942</v>
      </c>
      <c r="G239" s="64" t="s">
        <v>1483</v>
      </c>
      <c r="H239" s="557">
        <f t="shared" si="12"/>
        <v>70.788264999999996</v>
      </c>
      <c r="I239" s="773">
        <f t="shared" si="10"/>
        <v>6.5952293888259996</v>
      </c>
      <c r="J239" s="64" t="s">
        <v>1537</v>
      </c>
      <c r="K239" s="1010" t="s">
        <v>255</v>
      </c>
      <c r="L239" s="1007" t="s">
        <v>1658</v>
      </c>
      <c r="M239" s="311" t="s">
        <v>1692</v>
      </c>
      <c r="N239" s="311" t="s">
        <v>1693</v>
      </c>
    </row>
    <row r="240" spans="1:14" s="311" customFormat="1" ht="15.5">
      <c r="A240" s="611">
        <f t="shared" si="11"/>
        <v>236</v>
      </c>
      <c r="B240" s="65">
        <v>18</v>
      </c>
      <c r="C240" s="1005" t="s">
        <v>432</v>
      </c>
      <c r="D240" s="65" t="str">
        <f>IFERROR(VLOOKUP(C240,Foundation!$C$5:$D$554,2,0),"")</f>
        <v>DA+6</v>
      </c>
      <c r="E240" s="732">
        <v>45937</v>
      </c>
      <c r="F240" s="732">
        <v>45942</v>
      </c>
      <c r="G240" s="64" t="s">
        <v>1486</v>
      </c>
      <c r="H240" s="557">
        <f t="shared" si="12"/>
        <v>43.804423999999997</v>
      </c>
      <c r="I240" s="773">
        <f t="shared" si="10"/>
        <v>4.0811880970015997</v>
      </c>
      <c r="J240" s="64" t="s">
        <v>1143</v>
      </c>
      <c r="K240" s="1010" t="s">
        <v>255</v>
      </c>
      <c r="L240" s="1007" t="s">
        <v>1658</v>
      </c>
      <c r="M240" s="311" t="s">
        <v>1694</v>
      </c>
      <c r="N240" s="311" t="s">
        <v>1695</v>
      </c>
    </row>
    <row r="241" spans="1:14" s="311" customFormat="1" ht="15.5">
      <c r="A241" s="611">
        <f t="shared" si="11"/>
        <v>237</v>
      </c>
      <c r="B241" s="65">
        <v>19</v>
      </c>
      <c r="C241" s="1005" t="s">
        <v>251</v>
      </c>
      <c r="D241" s="65" t="str">
        <f>IFERROR(VLOOKUP(C241,Foundation!$C$5:$D$554,2,0),"")</f>
        <v>DA+9</v>
      </c>
      <c r="E241" s="732">
        <v>45941</v>
      </c>
      <c r="F241" s="732">
        <v>45945</v>
      </c>
      <c r="G241" s="64" t="s">
        <v>1497</v>
      </c>
      <c r="H241" s="557">
        <f t="shared" si="12"/>
        <v>45.697022000000004</v>
      </c>
      <c r="I241" s="773">
        <f t="shared" si="10"/>
        <v>4.2575184245048003</v>
      </c>
      <c r="J241" s="64" t="s">
        <v>1538</v>
      </c>
      <c r="K241" s="1010" t="s">
        <v>255</v>
      </c>
      <c r="L241" s="1007" t="s">
        <v>1658</v>
      </c>
      <c r="M241" s="311" t="s">
        <v>1702</v>
      </c>
      <c r="N241" s="311" t="s">
        <v>1703</v>
      </c>
    </row>
    <row r="242" spans="1:14" s="311" customFormat="1" ht="15.5">
      <c r="A242" s="611">
        <f t="shared" si="11"/>
        <v>238</v>
      </c>
      <c r="B242" s="65">
        <v>20</v>
      </c>
      <c r="C242" s="1005" t="s">
        <v>53</v>
      </c>
      <c r="D242" s="65" t="str">
        <f>IFERROR(VLOOKUP(C242,Foundation!$C$5:$D$554,2,0),"")</f>
        <v>DD60+3</v>
      </c>
      <c r="E242" s="732">
        <v>45931</v>
      </c>
      <c r="F242" s="732">
        <v>45945</v>
      </c>
      <c r="G242" s="64" t="s">
        <v>1498</v>
      </c>
      <c r="H242" s="557">
        <f t="shared" si="12"/>
        <v>87.021340000000009</v>
      </c>
      <c r="I242" s="773">
        <f t="shared" si="10"/>
        <v>8.1076390136560015</v>
      </c>
      <c r="J242" s="64" t="s">
        <v>1534</v>
      </c>
      <c r="K242" s="1010" t="s">
        <v>255</v>
      </c>
      <c r="L242" s="1007" t="s">
        <v>1658</v>
      </c>
      <c r="M242" s="311" t="s">
        <v>1722</v>
      </c>
      <c r="N242" s="311" t="s">
        <v>1723</v>
      </c>
    </row>
    <row r="243" spans="1:14" s="311" customFormat="1" ht="15.5">
      <c r="A243" s="611">
        <f t="shared" si="11"/>
        <v>239</v>
      </c>
      <c r="B243" s="65">
        <v>21</v>
      </c>
      <c r="C243" s="1005" t="s">
        <v>1266</v>
      </c>
      <c r="D243" s="65" t="str">
        <f>IFERROR(VLOOKUP(C243,Foundation!$C$5:$D$554,2,0),"")</f>
        <v>DA+3</v>
      </c>
      <c r="E243" s="732">
        <v>45939</v>
      </c>
      <c r="F243" s="732">
        <v>45946</v>
      </c>
      <c r="G243" s="64" t="s">
        <v>1525</v>
      </c>
      <c r="H243" s="557">
        <f t="shared" si="12"/>
        <v>37.931087999999995</v>
      </c>
      <c r="I243" s="773">
        <f t="shared" si="10"/>
        <v>3.5339787792191997</v>
      </c>
      <c r="J243" s="64" t="s">
        <v>1542</v>
      </c>
      <c r="K243" s="1010" t="s">
        <v>255</v>
      </c>
      <c r="L243" s="1007" t="s">
        <v>1658</v>
      </c>
      <c r="M243" s="311" t="s">
        <v>1696</v>
      </c>
      <c r="N243" s="311" t="s">
        <v>1697</v>
      </c>
    </row>
    <row r="244" spans="1:14" s="311" customFormat="1" ht="15.5">
      <c r="A244" s="611">
        <f t="shared" si="11"/>
        <v>240</v>
      </c>
      <c r="B244" s="65">
        <v>22</v>
      </c>
      <c r="C244" s="1005" t="s">
        <v>264</v>
      </c>
      <c r="D244" s="65" t="str">
        <f>IFERROR(VLOOKUP(C244,Foundation!$C$5:$D$554,2,0),"")</f>
        <v>DB1+6</v>
      </c>
      <c r="E244" s="732">
        <v>45932</v>
      </c>
      <c r="F244" s="732">
        <v>45947</v>
      </c>
      <c r="G244" s="64" t="s">
        <v>1489</v>
      </c>
      <c r="H244" s="557">
        <f t="shared" si="12"/>
        <v>65.027778999999995</v>
      </c>
      <c r="I244" s="773">
        <f t="shared" si="10"/>
        <v>6.0585341249835993</v>
      </c>
      <c r="J244" s="64" t="s">
        <v>1150</v>
      </c>
      <c r="K244" s="1010" t="s">
        <v>255</v>
      </c>
      <c r="L244" s="1007" t="s">
        <v>1658</v>
      </c>
      <c r="M244" s="311" t="s">
        <v>1718</v>
      </c>
      <c r="N244" s="311" t="s">
        <v>1719</v>
      </c>
    </row>
    <row r="245" spans="1:14" s="311" customFormat="1" ht="15.5">
      <c r="A245" s="611">
        <f t="shared" si="11"/>
        <v>241</v>
      </c>
      <c r="B245" s="65">
        <v>23</v>
      </c>
      <c r="C245" s="1005" t="s">
        <v>635</v>
      </c>
      <c r="D245" s="65" t="str">
        <f>IFERROR(VLOOKUP(C245,Foundation!$C$5:$D$554,2,0),"")</f>
        <v>DA-1.5</v>
      </c>
      <c r="E245" s="732">
        <v>45940</v>
      </c>
      <c r="F245" s="732">
        <v>45949</v>
      </c>
      <c r="G245" s="64" t="s">
        <v>1524</v>
      </c>
      <c r="H245" s="557">
        <f t="shared" si="12"/>
        <v>35.601761999999994</v>
      </c>
      <c r="I245" s="773">
        <f t="shared" si="10"/>
        <v>3.3169592027207995</v>
      </c>
      <c r="J245" s="64" t="s">
        <v>1491</v>
      </c>
      <c r="K245" s="1010" t="s">
        <v>255</v>
      </c>
      <c r="L245" s="1007" t="s">
        <v>1658</v>
      </c>
      <c r="M245" s="311" t="s">
        <v>1698</v>
      </c>
      <c r="N245" s="311" t="s">
        <v>1699</v>
      </c>
    </row>
    <row r="246" spans="1:14" s="311" customFormat="1" ht="15.5">
      <c r="A246" s="611">
        <f t="shared" si="11"/>
        <v>242</v>
      </c>
      <c r="B246" s="65">
        <v>24</v>
      </c>
      <c r="C246" s="1005" t="s">
        <v>75</v>
      </c>
      <c r="D246" s="65" t="str">
        <f>IFERROR(VLOOKUP(C246,Foundation!$C$5:$D$554,2,0),"")</f>
        <v>DB1+9</v>
      </c>
      <c r="E246" s="732">
        <v>45938</v>
      </c>
      <c r="F246" s="732">
        <v>45952</v>
      </c>
      <c r="G246" s="64" t="s">
        <v>1499</v>
      </c>
      <c r="H246" s="557">
        <f t="shared" si="12"/>
        <v>66.780901</v>
      </c>
      <c r="I246" s="773">
        <f t="shared" si="10"/>
        <v>6.2218696967283993</v>
      </c>
      <c r="J246" s="64" t="s">
        <v>1094</v>
      </c>
      <c r="K246" s="1010" t="s">
        <v>255</v>
      </c>
      <c r="L246" s="1007" t="s">
        <v>1658</v>
      </c>
      <c r="M246" s="311" t="s">
        <v>1712</v>
      </c>
      <c r="N246" s="311" t="s">
        <v>1713</v>
      </c>
    </row>
    <row r="247" spans="1:14" s="311" customFormat="1" ht="15.5">
      <c r="A247" s="611">
        <f t="shared" si="11"/>
        <v>243</v>
      </c>
      <c r="B247" s="65">
        <v>25</v>
      </c>
      <c r="C247" s="1005" t="s">
        <v>900</v>
      </c>
      <c r="D247" s="65" t="str">
        <f>IFERROR(VLOOKUP(C247,Foundation!$C$5:$D$554,2,0),"")</f>
        <v>DB1+0</v>
      </c>
      <c r="E247" s="732">
        <v>45936</v>
      </c>
      <c r="F247" s="732">
        <v>45952</v>
      </c>
      <c r="G247" s="64" t="s">
        <v>1484</v>
      </c>
      <c r="H247" s="557">
        <f t="shared" si="12"/>
        <v>55.450851000000007</v>
      </c>
      <c r="I247" s="773">
        <f t="shared" si="10"/>
        <v>5.1662670663084009</v>
      </c>
      <c r="J247" s="64" t="s">
        <v>1173</v>
      </c>
      <c r="K247" s="1010" t="s">
        <v>255</v>
      </c>
      <c r="L247" s="1007" t="s">
        <v>1658</v>
      </c>
      <c r="M247" s="995" t="s">
        <v>1716</v>
      </c>
      <c r="N247" s="995" t="s">
        <v>1717</v>
      </c>
    </row>
    <row r="248" spans="1:14" s="311" customFormat="1" ht="15.5">
      <c r="A248" s="611">
        <f t="shared" si="11"/>
        <v>244</v>
      </c>
      <c r="B248" s="65">
        <v>26</v>
      </c>
      <c r="C248" s="1005" t="s">
        <v>438</v>
      </c>
      <c r="D248" s="65" t="str">
        <f>IFERROR(VLOOKUP(C248,Foundation!$C$5:$D$554,2,0),"")</f>
        <v>DA+3</v>
      </c>
      <c r="E248" s="732">
        <v>45942</v>
      </c>
      <c r="F248" s="732">
        <v>45952</v>
      </c>
      <c r="G248" s="64" t="s">
        <v>1486</v>
      </c>
      <c r="H248" s="557">
        <f t="shared" si="12"/>
        <v>37.931087999999995</v>
      </c>
      <c r="I248" s="773">
        <f t="shared" si="10"/>
        <v>3.5339787792191997</v>
      </c>
      <c r="J248" s="64" t="s">
        <v>1143</v>
      </c>
      <c r="K248" s="1010" t="s">
        <v>255</v>
      </c>
      <c r="L248" s="1007" t="s">
        <v>1658</v>
      </c>
      <c r="M248" s="311" t="s">
        <v>1696</v>
      </c>
      <c r="N248" s="311" t="s">
        <v>1697</v>
      </c>
    </row>
    <row r="249" spans="1:14" s="311" customFormat="1" ht="15.5">
      <c r="A249" s="611">
        <f t="shared" si="11"/>
        <v>245</v>
      </c>
      <c r="B249" s="65">
        <v>27</v>
      </c>
      <c r="C249" s="1005" t="s">
        <v>426</v>
      </c>
      <c r="D249" s="65" t="str">
        <f>IFERROR(VLOOKUP(C249,Foundation!$C$5:$D$554,2,0),"")</f>
        <v>DA+1.5</v>
      </c>
      <c r="E249" s="732">
        <v>45946</v>
      </c>
      <c r="F249" s="732">
        <v>45952</v>
      </c>
      <c r="G249" s="64" t="s">
        <v>1497</v>
      </c>
      <c r="H249" s="557">
        <f t="shared" si="12"/>
        <v>37.138323999999997</v>
      </c>
      <c r="I249" s="773">
        <f t="shared" si="10"/>
        <v>3.4601182257615997</v>
      </c>
      <c r="J249" s="64" t="s">
        <v>1538</v>
      </c>
      <c r="K249" s="1010" t="s">
        <v>255</v>
      </c>
      <c r="L249" s="1007" t="s">
        <v>1658</v>
      </c>
      <c r="M249" s="311" t="s">
        <v>1700</v>
      </c>
      <c r="N249" s="311" t="s">
        <v>1701</v>
      </c>
    </row>
    <row r="250" spans="1:14" s="311" customFormat="1" ht="15.5">
      <c r="A250" s="611">
        <f t="shared" si="11"/>
        <v>246</v>
      </c>
      <c r="B250" s="65">
        <v>28</v>
      </c>
      <c r="C250" s="1005" t="s">
        <v>428</v>
      </c>
      <c r="D250" s="65" t="str">
        <f>IFERROR(VLOOKUP(C250,Foundation!$C$5:$D$554,2,0),"")</f>
        <v>DA-3</v>
      </c>
      <c r="E250" s="732">
        <v>45947</v>
      </c>
      <c r="F250" s="732">
        <v>45953</v>
      </c>
      <c r="G250" s="64" t="s">
        <v>1525</v>
      </c>
      <c r="H250" s="557">
        <f t="shared" si="12"/>
        <v>34.789810000000003</v>
      </c>
      <c r="I250" s="773">
        <f t="shared" si="10"/>
        <v>3.2413109340040003</v>
      </c>
      <c r="J250" s="64" t="s">
        <v>1542</v>
      </c>
      <c r="K250" s="1010" t="s">
        <v>255</v>
      </c>
      <c r="L250" s="1007" t="s">
        <v>1658</v>
      </c>
      <c r="M250" s="311" t="s">
        <v>1706</v>
      </c>
      <c r="N250" s="311" t="s">
        <v>1707</v>
      </c>
    </row>
    <row r="251" spans="1:14" s="311" customFormat="1" ht="15.5">
      <c r="A251" s="611">
        <f t="shared" si="11"/>
        <v>247</v>
      </c>
      <c r="B251" s="65">
        <v>29</v>
      </c>
      <c r="C251" s="1005" t="s">
        <v>64</v>
      </c>
      <c r="D251" s="65" t="str">
        <f>IFERROR(VLOOKUP(C251,Foundation!$C$5:$D$554,2,0),"")</f>
        <v>DC1+0</v>
      </c>
      <c r="E251" s="732">
        <v>45938</v>
      </c>
      <c r="F251" s="732">
        <v>45955</v>
      </c>
      <c r="G251" s="64" t="s">
        <v>1494</v>
      </c>
      <c r="H251" s="557">
        <f t="shared" si="12"/>
        <v>62.443705999999999</v>
      </c>
      <c r="I251" s="773">
        <f t="shared" si="10"/>
        <v>5.8177801780904002</v>
      </c>
      <c r="J251" s="64" t="s">
        <v>1143</v>
      </c>
      <c r="K251" s="1010" t="s">
        <v>255</v>
      </c>
      <c r="L251" s="1007" t="s">
        <v>1658</v>
      </c>
      <c r="M251" s="776" t="s">
        <v>1724</v>
      </c>
      <c r="N251" s="776" t="s">
        <v>1725</v>
      </c>
    </row>
    <row r="252" spans="1:14" s="311" customFormat="1" ht="15.5">
      <c r="A252" s="611">
        <f t="shared" si="11"/>
        <v>248</v>
      </c>
      <c r="B252" s="65">
        <v>30</v>
      </c>
      <c r="C252" s="1005" t="s">
        <v>1258</v>
      </c>
      <c r="D252" s="65" t="str">
        <f>IFERROR(VLOOKUP(C252,Foundation!$C$5:$D$554,2,0),"")</f>
        <v>DD45+3</v>
      </c>
      <c r="E252" s="732">
        <v>45941</v>
      </c>
      <c r="F252" s="732">
        <v>45956</v>
      </c>
      <c r="G252" s="64" t="s">
        <v>1493</v>
      </c>
      <c r="H252" s="557">
        <f t="shared" si="12"/>
        <v>77.076931999999999</v>
      </c>
      <c r="I252" s="773">
        <f t="shared" si="10"/>
        <v>7.1811344313488004</v>
      </c>
      <c r="J252" s="64" t="s">
        <v>1541</v>
      </c>
      <c r="K252" s="1010" t="s">
        <v>255</v>
      </c>
      <c r="L252" s="1007" t="s">
        <v>1658</v>
      </c>
      <c r="M252" s="311" t="s">
        <v>1696</v>
      </c>
      <c r="N252" s="311" t="s">
        <v>1726</v>
      </c>
    </row>
    <row r="253" spans="1:14" s="311" customFormat="1" ht="15.5">
      <c r="A253" s="611">
        <f t="shared" si="11"/>
        <v>249</v>
      </c>
      <c r="B253" s="65">
        <v>31</v>
      </c>
      <c r="C253" s="1005" t="s">
        <v>56</v>
      </c>
      <c r="D253" s="65" t="str">
        <f>IFERROR(VLOOKUP(C253,Foundation!$C$5:$D$554,2,0),"")</f>
        <v>DB2+9</v>
      </c>
      <c r="E253" s="732">
        <v>45942</v>
      </c>
      <c r="F253" s="732">
        <v>45957</v>
      </c>
      <c r="G253" s="64" t="s">
        <v>1527</v>
      </c>
      <c r="H253" s="557">
        <f t="shared" si="12"/>
        <v>72.155540000000002</v>
      </c>
      <c r="I253" s="773">
        <f t="shared" si="10"/>
        <v>6.7226162129360008</v>
      </c>
      <c r="J253" s="64" t="s">
        <v>1545</v>
      </c>
      <c r="K253" s="1010" t="s">
        <v>255</v>
      </c>
      <c r="L253" s="1010" t="s">
        <v>1658</v>
      </c>
      <c r="M253" s="311" t="s">
        <v>1720</v>
      </c>
      <c r="N253" s="311" t="s">
        <v>1721</v>
      </c>
    </row>
    <row r="254" spans="1:14" s="311" customFormat="1" ht="15.5">
      <c r="A254" s="611">
        <f t="shared" si="11"/>
        <v>250</v>
      </c>
      <c r="B254" s="65">
        <v>32</v>
      </c>
      <c r="C254" s="1005" t="s">
        <v>52</v>
      </c>
      <c r="D254" s="65" t="str">
        <f>IFERROR(VLOOKUP(C254,Foundation!$C$5:$D$554,2,0),"")</f>
        <v>DD60+3</v>
      </c>
      <c r="E254" s="732">
        <v>45946</v>
      </c>
      <c r="F254" s="732">
        <v>45958</v>
      </c>
      <c r="G254" s="64" t="s">
        <v>1498</v>
      </c>
      <c r="H254" s="557">
        <f t="shared" si="12"/>
        <v>87.021340000000009</v>
      </c>
      <c r="I254" s="773">
        <f t="shared" si="10"/>
        <v>8.1076390136560015</v>
      </c>
      <c r="J254" s="64" t="s">
        <v>1537</v>
      </c>
      <c r="K254" s="1010" t="s">
        <v>255</v>
      </c>
      <c r="L254" s="1007" t="s">
        <v>1658</v>
      </c>
      <c r="M254" s="311" t="s">
        <v>1722</v>
      </c>
      <c r="N254" s="311" t="s">
        <v>1723</v>
      </c>
    </row>
    <row r="255" spans="1:14" s="311" customFormat="1" ht="15.5">
      <c r="A255" s="611">
        <f t="shared" si="11"/>
        <v>251</v>
      </c>
      <c r="B255" s="65">
        <v>33</v>
      </c>
      <c r="C255" s="1005" t="s">
        <v>412</v>
      </c>
      <c r="D255" s="65" t="str">
        <f>IFERROR(VLOOKUP(C255,Foundation!$C$5:$D$554,2,0),"")</f>
        <v>DA+3</v>
      </c>
      <c r="E255" s="732">
        <v>45948</v>
      </c>
      <c r="F255" s="732">
        <v>45958</v>
      </c>
      <c r="G255" s="64" t="s">
        <v>1489</v>
      </c>
      <c r="H255" s="557">
        <f t="shared" si="12"/>
        <v>37.931087999999995</v>
      </c>
      <c r="I255" s="773">
        <f t="shared" si="10"/>
        <v>3.5339787792191997</v>
      </c>
      <c r="J255" s="64" t="s">
        <v>1547</v>
      </c>
      <c r="K255" s="1010" t="s">
        <v>255</v>
      </c>
      <c r="L255" s="1007" t="s">
        <v>1658</v>
      </c>
      <c r="M255" s="311" t="s">
        <v>1696</v>
      </c>
      <c r="N255" s="311" t="s">
        <v>1697</v>
      </c>
    </row>
    <row r="256" spans="1:14" s="311" customFormat="1" ht="15.5">
      <c r="A256" s="611">
        <f t="shared" si="11"/>
        <v>252</v>
      </c>
      <c r="B256" s="65">
        <v>34</v>
      </c>
      <c r="C256" s="1005" t="s">
        <v>54</v>
      </c>
      <c r="D256" s="65" t="str">
        <f>IFERROR(VLOOKUP(C256,Foundation!$C$5:$D$554,2,0),"")</f>
        <v>DB1+0</v>
      </c>
      <c r="E256" s="732">
        <v>45950</v>
      </c>
      <c r="F256" s="732">
        <v>45959</v>
      </c>
      <c r="G256" s="64" t="s">
        <v>1524</v>
      </c>
      <c r="H256" s="557">
        <f t="shared" si="12"/>
        <v>55.450851000000007</v>
      </c>
      <c r="I256" s="773">
        <f t="shared" si="10"/>
        <v>5.1662670663084009</v>
      </c>
      <c r="J256" s="64" t="s">
        <v>1546</v>
      </c>
      <c r="K256" s="1010" t="s">
        <v>255</v>
      </c>
      <c r="L256" s="1007" t="s">
        <v>1658</v>
      </c>
      <c r="M256" s="995" t="s">
        <v>1716</v>
      </c>
      <c r="N256" s="995" t="s">
        <v>1717</v>
      </c>
    </row>
    <row r="257" spans="1:14" s="311" customFormat="1" ht="15.5">
      <c r="A257" s="611">
        <f t="shared" si="11"/>
        <v>253</v>
      </c>
      <c r="B257" s="65">
        <v>35</v>
      </c>
      <c r="C257" s="1005" t="s">
        <v>179</v>
      </c>
      <c r="D257" s="65" t="str">
        <f>IFERROR(VLOOKUP(C257,Foundation!$C$5:$D$554,2,0),"")</f>
        <v>DA+0</v>
      </c>
      <c r="E257" s="732">
        <v>45954</v>
      </c>
      <c r="F257" s="732">
        <v>45959</v>
      </c>
      <c r="G257" s="64" t="s">
        <v>1525</v>
      </c>
      <c r="H257" s="557">
        <f t="shared" si="12"/>
        <v>36.159755999999994</v>
      </c>
      <c r="I257" s="773">
        <f t="shared" si="10"/>
        <v>3.3689466109103994</v>
      </c>
      <c r="J257" s="64" t="s">
        <v>1542</v>
      </c>
      <c r="K257" s="1010" t="s">
        <v>255</v>
      </c>
      <c r="L257" s="1007" t="s">
        <v>1658</v>
      </c>
      <c r="M257" s="311" t="s">
        <v>1704</v>
      </c>
      <c r="N257" s="311" t="s">
        <v>1705</v>
      </c>
    </row>
    <row r="258" spans="1:14" s="311" customFormat="1" ht="15.5">
      <c r="A258" s="611">
        <f t="shared" si="11"/>
        <v>254</v>
      </c>
      <c r="B258" s="65">
        <v>36</v>
      </c>
      <c r="C258" s="1005" t="s">
        <v>167</v>
      </c>
      <c r="D258" s="65" t="str">
        <f>IFERROR(VLOOKUP(C258,Foundation!$C$5:$D$554,2,0),"")</f>
        <v>DD60+25</v>
      </c>
      <c r="E258" s="732">
        <v>45935</v>
      </c>
      <c r="F258" s="732">
        <v>45960</v>
      </c>
      <c r="G258" s="64" t="s">
        <v>1526</v>
      </c>
      <c r="H258" s="557">
        <f t="shared" si="12"/>
        <v>137.04611199999999</v>
      </c>
      <c r="I258" s="773">
        <f t="shared" si="10"/>
        <v>12.768366981260799</v>
      </c>
      <c r="J258" s="64" t="s">
        <v>1480</v>
      </c>
      <c r="K258" s="1010" t="s">
        <v>255</v>
      </c>
      <c r="L258" s="1007" t="s">
        <v>1658</v>
      </c>
      <c r="M258" s="311" t="s">
        <v>1727</v>
      </c>
      <c r="N258" s="311" t="s">
        <v>1728</v>
      </c>
    </row>
    <row r="259" spans="1:14" s="311" customFormat="1" ht="15.5">
      <c r="A259" s="611">
        <f t="shared" si="11"/>
        <v>255</v>
      </c>
      <c r="B259" s="65">
        <v>37</v>
      </c>
      <c r="C259" s="1005" t="s">
        <v>156</v>
      </c>
      <c r="D259" s="65" t="str">
        <f>IFERROR(VLOOKUP(C259,Foundation!$C$5:$D$554,2,0),"")</f>
        <v>DA-1.5</v>
      </c>
      <c r="E259" s="732">
        <v>45953</v>
      </c>
      <c r="F259" s="732">
        <v>45960</v>
      </c>
      <c r="G259" s="64" t="s">
        <v>1486</v>
      </c>
      <c r="H259" s="557">
        <f t="shared" si="12"/>
        <v>35.601761999999994</v>
      </c>
      <c r="I259" s="773">
        <f t="shared" si="10"/>
        <v>3.3169592027207995</v>
      </c>
      <c r="J259" s="64" t="s">
        <v>1173</v>
      </c>
      <c r="K259" s="1010" t="s">
        <v>255</v>
      </c>
      <c r="L259" s="1007" t="s">
        <v>1658</v>
      </c>
      <c r="M259" s="311" t="s">
        <v>1698</v>
      </c>
      <c r="N259" s="311" t="s">
        <v>1699</v>
      </c>
    </row>
    <row r="260" spans="1:14" s="311" customFormat="1" ht="15.5">
      <c r="A260" s="611">
        <f t="shared" si="11"/>
        <v>256</v>
      </c>
      <c r="B260" s="65">
        <v>38</v>
      </c>
      <c r="C260" s="1005" t="s">
        <v>413</v>
      </c>
      <c r="D260" s="65" t="str">
        <f>IFERROR(VLOOKUP(C260,Foundation!$C$5:$D$554,2,0),"")</f>
        <v>DA+3</v>
      </c>
      <c r="E260" s="732">
        <v>45942</v>
      </c>
      <c r="F260" s="732">
        <v>45961</v>
      </c>
      <c r="G260" s="64" t="s">
        <v>1487</v>
      </c>
      <c r="H260" s="557">
        <f t="shared" si="12"/>
        <v>37.931087999999995</v>
      </c>
      <c r="I260" s="773">
        <f t="shared" si="10"/>
        <v>3.5339787792191997</v>
      </c>
      <c r="J260" s="64" t="s">
        <v>1547</v>
      </c>
      <c r="K260" s="1010" t="s">
        <v>255</v>
      </c>
      <c r="L260" s="1007" t="s">
        <v>1658</v>
      </c>
      <c r="M260" s="311" t="s">
        <v>1696</v>
      </c>
      <c r="N260" s="311" t="s">
        <v>1697</v>
      </c>
    </row>
    <row r="261" spans="1:14" s="311" customFormat="1" ht="15.5">
      <c r="A261" s="611">
        <f t="shared" si="11"/>
        <v>257</v>
      </c>
      <c r="B261" s="65">
        <v>39</v>
      </c>
      <c r="C261" s="1005" t="s">
        <v>427</v>
      </c>
      <c r="D261" s="65" t="str">
        <f>IFERROR(VLOOKUP(C261,Foundation!$C$5:$D$554,2,0),"")</f>
        <v>DA+0</v>
      </c>
      <c r="E261" s="732">
        <v>45958</v>
      </c>
      <c r="F261" s="732">
        <v>45961</v>
      </c>
      <c r="G261" s="64" t="s">
        <v>1498</v>
      </c>
      <c r="H261" s="557">
        <f t="shared" si="12"/>
        <v>36.159755999999994</v>
      </c>
      <c r="I261" s="773">
        <f t="shared" ref="I261:I292" si="13">IFERROR(VLOOKUP(D261,$D$316:$K$345,8,0)/10^5,"")</f>
        <v>3.3689466109103994</v>
      </c>
      <c r="J261" s="64" t="s">
        <v>1537</v>
      </c>
      <c r="K261" s="1010" t="s">
        <v>255</v>
      </c>
      <c r="L261" s="1007" t="s">
        <v>1658</v>
      </c>
      <c r="M261" s="311" t="s">
        <v>1704</v>
      </c>
      <c r="N261" s="311" t="s">
        <v>1705</v>
      </c>
    </row>
    <row r="262" spans="1:14" s="311" customFormat="1" ht="15.5">
      <c r="A262" s="611">
        <f t="shared" ref="A262:A311" si="14">A261+1</f>
        <v>258</v>
      </c>
      <c r="B262" s="65">
        <v>1</v>
      </c>
      <c r="C262" s="1005" t="s">
        <v>176</v>
      </c>
      <c r="D262" s="65" t="str">
        <f>IFERROR(VLOOKUP(C262,Foundation!$C$5:$D$554,2,0),"")</f>
        <v>DA+1.5</v>
      </c>
      <c r="E262" s="732">
        <v>45960</v>
      </c>
      <c r="F262" s="732">
        <v>45966</v>
      </c>
      <c r="G262" s="64" t="s">
        <v>1525</v>
      </c>
      <c r="H262" s="557">
        <f t="shared" si="12"/>
        <v>37.138323999999997</v>
      </c>
      <c r="I262" s="773">
        <f t="shared" si="13"/>
        <v>3.4601182257615997</v>
      </c>
      <c r="J262" s="64" t="s">
        <v>1542</v>
      </c>
      <c r="K262" s="1010" t="s">
        <v>255</v>
      </c>
      <c r="L262" s="1010" t="s">
        <v>1658</v>
      </c>
      <c r="M262" s="311" t="s">
        <v>1700</v>
      </c>
      <c r="N262" s="311" t="s">
        <v>1701</v>
      </c>
    </row>
    <row r="263" spans="1:14" s="311" customFormat="1" ht="15.5">
      <c r="A263" s="611">
        <f t="shared" si="14"/>
        <v>259</v>
      </c>
      <c r="B263" s="65">
        <v>2</v>
      </c>
      <c r="C263" s="1005" t="s">
        <v>411</v>
      </c>
      <c r="D263" s="65" t="str">
        <f>IFERROR(VLOOKUP(C263,Foundation!$C$5:$D$554,2,0),"")</f>
        <v>DA+3</v>
      </c>
      <c r="E263" s="732">
        <v>45961</v>
      </c>
      <c r="F263" s="732">
        <v>45966</v>
      </c>
      <c r="G263" s="64" t="s">
        <v>1526</v>
      </c>
      <c r="H263" s="557">
        <f t="shared" si="12"/>
        <v>37.931087999999995</v>
      </c>
      <c r="I263" s="773">
        <f t="shared" si="13"/>
        <v>3.5339787792191997</v>
      </c>
      <c r="J263" s="64" t="s">
        <v>1480</v>
      </c>
      <c r="K263" s="1010" t="s">
        <v>255</v>
      </c>
      <c r="L263" s="1010" t="s">
        <v>1658</v>
      </c>
      <c r="M263" s="311" t="s">
        <v>1696</v>
      </c>
      <c r="N263" s="311" t="s">
        <v>1697</v>
      </c>
    </row>
    <row r="264" spans="1:14" s="311" customFormat="1" ht="15.5">
      <c r="A264" s="611">
        <f t="shared" si="14"/>
        <v>260</v>
      </c>
      <c r="B264" s="65">
        <v>3</v>
      </c>
      <c r="C264" s="1005" t="s">
        <v>177</v>
      </c>
      <c r="D264" s="65" t="str">
        <f>IFERROR(VLOOKUP(C264,Foundation!$C$5:$D$554,2,0),"")</f>
        <v>DA+3</v>
      </c>
      <c r="E264" s="732">
        <v>45962</v>
      </c>
      <c r="F264" s="732">
        <v>45967</v>
      </c>
      <c r="G264" s="64" t="s">
        <v>1498</v>
      </c>
      <c r="H264" s="557">
        <f t="shared" si="12"/>
        <v>37.931087999999995</v>
      </c>
      <c r="I264" s="773">
        <f t="shared" si="13"/>
        <v>3.5339787792191997</v>
      </c>
      <c r="J264" s="64" t="s">
        <v>1537</v>
      </c>
      <c r="K264" s="1010" t="s">
        <v>255</v>
      </c>
      <c r="L264" s="1010" t="s">
        <v>1658</v>
      </c>
      <c r="M264" s="311" t="s">
        <v>1696</v>
      </c>
      <c r="N264" s="311" t="s">
        <v>1697</v>
      </c>
    </row>
    <row r="265" spans="1:14" s="311" customFormat="1" ht="15.5">
      <c r="A265" s="611">
        <f t="shared" si="14"/>
        <v>261</v>
      </c>
      <c r="B265" s="65">
        <v>4</v>
      </c>
      <c r="C265" s="1005" t="s">
        <v>59</v>
      </c>
      <c r="D265" s="65" t="str">
        <f>IFERROR(VLOOKUP(C265,Foundation!$C$5:$D$554,2,0),"")</f>
        <v>DD60+35</v>
      </c>
      <c r="E265" s="732">
        <v>45940</v>
      </c>
      <c r="F265" s="732">
        <v>45968</v>
      </c>
      <c r="G265" s="64" t="s">
        <v>1522</v>
      </c>
      <c r="H265" s="557">
        <f t="shared" si="12"/>
        <v>173.560912</v>
      </c>
      <c r="I265" s="773">
        <f t="shared" si="13"/>
        <v>16.170392473580801</v>
      </c>
      <c r="J265" s="64" t="s">
        <v>1502</v>
      </c>
      <c r="K265" s="1010" t="s">
        <v>255</v>
      </c>
      <c r="L265" s="1010" t="s">
        <v>1658</v>
      </c>
      <c r="M265" s="311" t="s">
        <v>1729</v>
      </c>
      <c r="N265" s="311" t="s">
        <v>1730</v>
      </c>
    </row>
    <row r="266" spans="1:14" s="311" customFormat="1" ht="15.5">
      <c r="A266" s="611">
        <f t="shared" si="14"/>
        <v>262</v>
      </c>
      <c r="B266" s="65">
        <v>5</v>
      </c>
      <c r="C266" s="1005" t="s">
        <v>1268</v>
      </c>
      <c r="D266" s="65" t="str">
        <f>IFERROR(VLOOKUP(C266,Foundation!$C$5:$D$554,2,0),"")</f>
        <v>DA+6</v>
      </c>
      <c r="E266" s="732">
        <v>45957</v>
      </c>
      <c r="F266" s="732">
        <v>45969</v>
      </c>
      <c r="G266" s="64" t="s">
        <v>1493</v>
      </c>
      <c r="H266" s="557">
        <f t="shared" si="12"/>
        <v>43.804423999999997</v>
      </c>
      <c r="I266" s="773">
        <f t="shared" si="13"/>
        <v>4.0811880970015997</v>
      </c>
      <c r="J266" s="64" t="s">
        <v>1541</v>
      </c>
      <c r="K266" s="1010" t="s">
        <v>255</v>
      </c>
      <c r="L266" s="1010" t="s">
        <v>1658</v>
      </c>
      <c r="M266" s="311" t="s">
        <v>1694</v>
      </c>
      <c r="N266" s="311" t="s">
        <v>1695</v>
      </c>
    </row>
    <row r="267" spans="1:14" s="311" customFormat="1" ht="15.5">
      <c r="A267" s="611">
        <f t="shared" si="14"/>
        <v>263</v>
      </c>
      <c r="B267" s="65">
        <v>6</v>
      </c>
      <c r="C267" s="1005" t="s">
        <v>414</v>
      </c>
      <c r="D267" s="65" t="str">
        <f>IFERROR(VLOOKUP(C267,Foundation!$C$5:$D$554,2,0),"")</f>
        <v>DA+3</v>
      </c>
      <c r="E267" s="732">
        <v>45962</v>
      </c>
      <c r="F267" s="732">
        <v>45970</v>
      </c>
      <c r="G267" s="64" t="s">
        <v>1487</v>
      </c>
      <c r="H267" s="557">
        <f t="shared" si="12"/>
        <v>37.931087999999995</v>
      </c>
      <c r="I267" s="773">
        <f t="shared" si="13"/>
        <v>3.5339787792191997</v>
      </c>
      <c r="J267" s="64" t="s">
        <v>1547</v>
      </c>
      <c r="K267" s="1010" t="s">
        <v>255</v>
      </c>
      <c r="L267" s="1010" t="s">
        <v>1658</v>
      </c>
      <c r="M267" s="311" t="s">
        <v>1696</v>
      </c>
      <c r="N267" s="311" t="s">
        <v>1697</v>
      </c>
    </row>
    <row r="268" spans="1:14" s="311" customFormat="1" ht="15.5">
      <c r="A268" s="611">
        <f t="shared" si="14"/>
        <v>264</v>
      </c>
      <c r="B268" s="65">
        <v>7</v>
      </c>
      <c r="C268" s="1005" t="s">
        <v>410</v>
      </c>
      <c r="D268" s="65" t="str">
        <f>IFERROR(VLOOKUP(C268,Foundation!$C$5:$D$554,2,0),"")</f>
        <v>DA+0</v>
      </c>
      <c r="E268" s="732">
        <v>45967</v>
      </c>
      <c r="F268" s="732">
        <v>45973</v>
      </c>
      <c r="G268" s="64" t="s">
        <v>1526</v>
      </c>
      <c r="H268" s="557">
        <f t="shared" si="12"/>
        <v>36.159755999999994</v>
      </c>
      <c r="I268" s="773">
        <f t="shared" si="13"/>
        <v>3.3689466109103994</v>
      </c>
      <c r="J268" s="64" t="s">
        <v>1500</v>
      </c>
      <c r="K268" s="1010" t="s">
        <v>255</v>
      </c>
      <c r="L268" s="1010" t="s">
        <v>1658</v>
      </c>
      <c r="M268" s="311" t="s">
        <v>1704</v>
      </c>
      <c r="N268" s="311" t="s">
        <v>1705</v>
      </c>
    </row>
    <row r="269" spans="1:14" s="311" customFormat="1" ht="15.5">
      <c r="A269" s="611">
        <f t="shared" si="14"/>
        <v>265</v>
      </c>
      <c r="B269" s="65">
        <v>8</v>
      </c>
      <c r="C269" s="1005" t="s">
        <v>63</v>
      </c>
      <c r="D269" s="65" t="str">
        <f>IFERROR(VLOOKUP(C269,Foundation!$C$5:$D$554,2,0),"")</f>
        <v>DC2-3</v>
      </c>
      <c r="E269" s="732">
        <v>45961</v>
      </c>
      <c r="F269" s="732">
        <v>45973</v>
      </c>
      <c r="G269" s="64" t="s">
        <v>1486</v>
      </c>
      <c r="H269" s="557">
        <f t="shared" si="12"/>
        <v>64.884298000000001</v>
      </c>
      <c r="I269" s="773">
        <f t="shared" si="13"/>
        <v>6.0451662297831996</v>
      </c>
      <c r="J269" s="64" t="s">
        <v>1173</v>
      </c>
      <c r="K269" s="1010" t="s">
        <v>255</v>
      </c>
      <c r="L269" s="1010" t="s">
        <v>1658</v>
      </c>
      <c r="M269" s="311" t="s">
        <v>1731</v>
      </c>
      <c r="N269" s="311" t="s">
        <v>1732</v>
      </c>
    </row>
    <row r="270" spans="1:14" s="311" customFormat="1" ht="15.5">
      <c r="A270" s="611">
        <f t="shared" si="14"/>
        <v>266</v>
      </c>
      <c r="B270" s="65">
        <v>9</v>
      </c>
      <c r="C270" s="1005" t="s">
        <v>429</v>
      </c>
      <c r="D270" s="65" t="str">
        <f>IFERROR(VLOOKUP(C270,Foundation!$C$5:$D$554,2,0),"")</f>
        <v>DA+0</v>
      </c>
      <c r="E270" s="732">
        <v>45968</v>
      </c>
      <c r="F270" s="732">
        <v>45973</v>
      </c>
      <c r="G270" s="64" t="s">
        <v>1498</v>
      </c>
      <c r="H270" s="557">
        <f t="shared" si="12"/>
        <v>36.159755999999994</v>
      </c>
      <c r="I270" s="773">
        <f t="shared" si="13"/>
        <v>3.3689466109103994</v>
      </c>
      <c r="J270" s="64" t="s">
        <v>1537</v>
      </c>
      <c r="K270" s="1010" t="s">
        <v>255</v>
      </c>
      <c r="L270" s="1010" t="s">
        <v>1658</v>
      </c>
      <c r="M270" s="311" t="s">
        <v>1704</v>
      </c>
      <c r="N270" s="311" t="s">
        <v>1705</v>
      </c>
    </row>
    <row r="271" spans="1:14" s="311" customFormat="1" ht="15.5">
      <c r="A271" s="611">
        <f t="shared" si="14"/>
        <v>267</v>
      </c>
      <c r="B271" s="65">
        <v>10</v>
      </c>
      <c r="C271" s="1005" t="s">
        <v>180</v>
      </c>
      <c r="D271" s="65" t="str">
        <f>IFERROR(VLOOKUP(C271,Foundation!$C$5:$D$554,2,0),"")</f>
        <v>DA+6</v>
      </c>
      <c r="E271" s="732">
        <v>45967</v>
      </c>
      <c r="F271" s="732">
        <v>45974</v>
      </c>
      <c r="G271" s="64" t="s">
        <v>1525</v>
      </c>
      <c r="H271" s="557">
        <f t="shared" si="12"/>
        <v>43.804423999999997</v>
      </c>
      <c r="I271" s="773">
        <f t="shared" si="13"/>
        <v>4.0811880970015997</v>
      </c>
      <c r="J271" s="64" t="s">
        <v>1542</v>
      </c>
      <c r="K271" s="1010" t="s">
        <v>255</v>
      </c>
      <c r="L271" s="1010" t="s">
        <v>1658</v>
      </c>
      <c r="M271" s="311" t="s">
        <v>1694</v>
      </c>
      <c r="N271" s="311" t="s">
        <v>1695</v>
      </c>
    </row>
    <row r="272" spans="1:14" s="311" customFormat="1" ht="15.5">
      <c r="A272" s="611">
        <f t="shared" si="14"/>
        <v>268</v>
      </c>
      <c r="B272" s="65">
        <v>11</v>
      </c>
      <c r="C272" s="1005" t="s">
        <v>55</v>
      </c>
      <c r="D272" s="65" t="str">
        <f>IFERROR(VLOOKUP(C272,Foundation!$C$5:$D$554,2,0),"")</f>
        <v>DC2+15</v>
      </c>
      <c r="E272" s="732">
        <v>45958</v>
      </c>
      <c r="F272" s="732">
        <v>45974</v>
      </c>
      <c r="G272" s="64" t="s">
        <v>1527</v>
      </c>
      <c r="H272" s="557">
        <f t="shared" si="12"/>
        <v>96.879900000000006</v>
      </c>
      <c r="I272" s="773">
        <f t="shared" si="13"/>
        <v>9.0261452751600011</v>
      </c>
      <c r="J272" s="64" t="s">
        <v>1545</v>
      </c>
      <c r="K272" s="1010" t="s">
        <v>255</v>
      </c>
      <c r="L272" s="1010" t="s">
        <v>1658</v>
      </c>
      <c r="M272" s="311" t="s">
        <v>1733</v>
      </c>
      <c r="N272" s="311" t="s">
        <v>1734</v>
      </c>
    </row>
    <row r="273" spans="1:14" s="311" customFormat="1" ht="15.5">
      <c r="A273" s="611">
        <f t="shared" si="14"/>
        <v>269</v>
      </c>
      <c r="B273" s="65">
        <v>12</v>
      </c>
      <c r="C273" s="1005" t="s">
        <v>420</v>
      </c>
      <c r="D273" s="65" t="str">
        <f>IFERROR(VLOOKUP(C273,Foundation!$C$5:$D$554,2,0),"")</f>
        <v>DA+0</v>
      </c>
      <c r="E273" s="732">
        <v>45971</v>
      </c>
      <c r="F273" s="732">
        <v>45976</v>
      </c>
      <c r="G273" s="64" t="s">
        <v>1487</v>
      </c>
      <c r="H273" s="557">
        <f t="shared" si="12"/>
        <v>36.159755999999994</v>
      </c>
      <c r="I273" s="773">
        <f t="shared" si="13"/>
        <v>3.3689466109103994</v>
      </c>
      <c r="J273" s="64" t="s">
        <v>1547</v>
      </c>
      <c r="K273" s="1010" t="s">
        <v>255</v>
      </c>
      <c r="L273" s="1010" t="s">
        <v>1658</v>
      </c>
      <c r="M273" s="311" t="s">
        <v>1704</v>
      </c>
      <c r="N273" s="311" t="s">
        <v>1705</v>
      </c>
    </row>
    <row r="274" spans="1:14" s="311" customFormat="1" ht="15.5">
      <c r="A274" s="611">
        <f t="shared" si="14"/>
        <v>270</v>
      </c>
      <c r="B274" s="65">
        <v>13</v>
      </c>
      <c r="C274" s="1005" t="s">
        <v>155</v>
      </c>
      <c r="D274" s="65" t="str">
        <f>IFERROR(VLOOKUP(C274,Foundation!$C$5:$D$554,2,0),"")</f>
        <v>DA+1.5</v>
      </c>
      <c r="E274" s="732">
        <v>45957</v>
      </c>
      <c r="F274" s="732">
        <v>45976</v>
      </c>
      <c r="G274" s="64" t="s">
        <v>1494</v>
      </c>
      <c r="H274" s="557">
        <f t="shared" si="12"/>
        <v>37.138323999999997</v>
      </c>
      <c r="I274" s="773">
        <f t="shared" si="13"/>
        <v>3.4601182257615997</v>
      </c>
      <c r="J274" s="64" t="s">
        <v>1544</v>
      </c>
      <c r="K274" s="1010" t="s">
        <v>255</v>
      </c>
      <c r="L274" s="1010" t="s">
        <v>1658</v>
      </c>
      <c r="M274" s="311" t="s">
        <v>1700</v>
      </c>
      <c r="N274" s="311" t="s">
        <v>1701</v>
      </c>
    </row>
    <row r="275" spans="1:14" s="311" customFormat="1" ht="15.5">
      <c r="A275" s="611">
        <f t="shared" si="14"/>
        <v>271</v>
      </c>
      <c r="B275" s="65">
        <v>14</v>
      </c>
      <c r="C275" s="1005" t="s">
        <v>182</v>
      </c>
      <c r="D275" s="65" t="str">
        <f>IFERROR(VLOOKUP(C275,Foundation!$C$5:$D$554,2,0),"")</f>
        <v>DA+0</v>
      </c>
      <c r="E275" s="732">
        <v>45974</v>
      </c>
      <c r="F275" s="732">
        <v>45981</v>
      </c>
      <c r="G275" s="64" t="s">
        <v>1498</v>
      </c>
      <c r="H275" s="557">
        <f t="shared" si="12"/>
        <v>36.159755999999994</v>
      </c>
      <c r="I275" s="773">
        <f t="shared" si="13"/>
        <v>3.3689466109103994</v>
      </c>
      <c r="J275" s="64" t="s">
        <v>1537</v>
      </c>
      <c r="K275" s="1010" t="s">
        <v>255</v>
      </c>
      <c r="L275" s="1010" t="s">
        <v>1658</v>
      </c>
      <c r="M275" s="311" t="s">
        <v>1704</v>
      </c>
      <c r="N275" s="311" t="s">
        <v>1705</v>
      </c>
    </row>
    <row r="276" spans="1:14" s="311" customFormat="1" ht="15.5">
      <c r="A276" s="611">
        <f t="shared" si="14"/>
        <v>272</v>
      </c>
      <c r="B276" s="65">
        <v>15</v>
      </c>
      <c r="C276" s="1005" t="s">
        <v>162</v>
      </c>
      <c r="D276" s="65" t="str">
        <f>IFERROR(VLOOKUP(C276,Foundation!$C$5:$D$554,2,0),"")</f>
        <v>DA-3</v>
      </c>
      <c r="E276" s="732">
        <v>45974</v>
      </c>
      <c r="F276" s="732">
        <v>45981</v>
      </c>
      <c r="G276" s="64" t="s">
        <v>1486</v>
      </c>
      <c r="H276" s="557">
        <f t="shared" si="12"/>
        <v>34.789810000000003</v>
      </c>
      <c r="I276" s="773">
        <f t="shared" si="13"/>
        <v>3.2413109340040003</v>
      </c>
      <c r="J276" s="64" t="s">
        <v>1173</v>
      </c>
      <c r="K276" s="1010" t="s">
        <v>255</v>
      </c>
      <c r="L276" s="1010" t="s">
        <v>1658</v>
      </c>
      <c r="M276" s="311" t="s">
        <v>1706</v>
      </c>
      <c r="N276" s="311" t="s">
        <v>1707</v>
      </c>
    </row>
    <row r="277" spans="1:14" s="311" customFormat="1" ht="15.5">
      <c r="A277" s="611">
        <f t="shared" si="14"/>
        <v>273</v>
      </c>
      <c r="B277" s="65">
        <v>16</v>
      </c>
      <c r="C277" s="1005" t="s">
        <v>423</v>
      </c>
      <c r="D277" s="65" t="str">
        <f>IFERROR(VLOOKUP(C277,Foundation!$C$5:$D$554,2,0),"")</f>
        <v>DA-1.5</v>
      </c>
      <c r="E277" s="732">
        <v>45977</v>
      </c>
      <c r="F277" s="732">
        <v>45982</v>
      </c>
      <c r="G277" s="64" t="s">
        <v>1487</v>
      </c>
      <c r="H277" s="557">
        <f t="shared" si="12"/>
        <v>35.601761999999994</v>
      </c>
      <c r="I277" s="773">
        <f t="shared" si="13"/>
        <v>3.3169592027207995</v>
      </c>
      <c r="J277" s="64" t="s">
        <v>1547</v>
      </c>
      <c r="K277" s="1010" t="s">
        <v>255</v>
      </c>
      <c r="L277" s="1010" t="s">
        <v>1658</v>
      </c>
      <c r="M277" s="311" t="s">
        <v>1698</v>
      </c>
      <c r="N277" s="311" t="s">
        <v>1699</v>
      </c>
    </row>
    <row r="278" spans="1:14" s="311" customFormat="1" ht="15.5">
      <c r="A278" s="611">
        <f t="shared" si="14"/>
        <v>274</v>
      </c>
      <c r="B278" s="65">
        <v>17</v>
      </c>
      <c r="C278" s="1005" t="s">
        <v>265</v>
      </c>
      <c r="D278" s="65" t="str">
        <f>IFERROR(VLOOKUP(C278,Foundation!$C$5:$D$554,2,0),"")</f>
        <v>DD45+0</v>
      </c>
      <c r="E278" s="732">
        <v>45974</v>
      </c>
      <c r="F278" s="732">
        <v>45987</v>
      </c>
      <c r="G278" s="64" t="s">
        <v>1526</v>
      </c>
      <c r="H278" s="557">
        <f t="shared" si="12"/>
        <v>73.244547999999995</v>
      </c>
      <c r="I278" s="773">
        <f t="shared" si="13"/>
        <v>6.8240773458832003</v>
      </c>
      <c r="J278" s="64" t="s">
        <v>1500</v>
      </c>
      <c r="K278" s="1010" t="s">
        <v>255</v>
      </c>
      <c r="L278" s="1010" t="s">
        <v>1658</v>
      </c>
      <c r="M278" s="311" t="s">
        <v>1735</v>
      </c>
      <c r="N278" s="311" t="s">
        <v>1736</v>
      </c>
    </row>
    <row r="279" spans="1:14" s="311" customFormat="1" ht="15.5">
      <c r="A279" s="611">
        <f t="shared" si="14"/>
        <v>275</v>
      </c>
      <c r="B279" s="65">
        <v>18</v>
      </c>
      <c r="C279" s="1005" t="s">
        <v>57</v>
      </c>
      <c r="D279" s="65" t="str">
        <f>IFERROR(VLOOKUP(C279,Foundation!$C$5:$D$554,2,0),"")</f>
        <v>DD60+18</v>
      </c>
      <c r="E279" s="732">
        <v>45974</v>
      </c>
      <c r="F279" s="732">
        <v>45988</v>
      </c>
      <c r="G279" s="64" t="s">
        <v>1483</v>
      </c>
      <c r="H279" s="557">
        <f t="shared" si="12"/>
        <v>124.94995199999998</v>
      </c>
      <c r="I279" s="773">
        <f t="shared" si="13"/>
        <v>11.641387107916797</v>
      </c>
      <c r="J279" s="64" t="s">
        <v>1502</v>
      </c>
      <c r="K279" s="1010" t="s">
        <v>255</v>
      </c>
      <c r="L279" s="1010" t="s">
        <v>1658</v>
      </c>
      <c r="M279" s="311" t="s">
        <v>1737</v>
      </c>
      <c r="N279" s="311" t="s">
        <v>1738</v>
      </c>
    </row>
    <row r="280" spans="1:14" s="311" customFormat="1" ht="15.5">
      <c r="A280" s="611">
        <f t="shared" si="14"/>
        <v>276</v>
      </c>
      <c r="B280" s="65">
        <v>19</v>
      </c>
      <c r="C280" s="1005" t="s">
        <v>62</v>
      </c>
      <c r="D280" s="65" t="str">
        <f>IFERROR(VLOOKUP(C280,Foundation!$C$5:$D$554,2,0),"")</f>
        <v>DA-1.5</v>
      </c>
      <c r="E280" s="732">
        <v>45982</v>
      </c>
      <c r="F280" s="732">
        <v>45988</v>
      </c>
      <c r="G280" s="64" t="s">
        <v>1486</v>
      </c>
      <c r="H280" s="557">
        <f t="shared" si="12"/>
        <v>35.601761999999994</v>
      </c>
      <c r="I280" s="773">
        <f t="shared" si="13"/>
        <v>3.3169592027207995</v>
      </c>
      <c r="J280" s="64" t="s">
        <v>662</v>
      </c>
      <c r="K280" s="1010" t="s">
        <v>255</v>
      </c>
      <c r="L280" s="1010" t="s">
        <v>1658</v>
      </c>
      <c r="M280" s="311" t="s">
        <v>1698</v>
      </c>
      <c r="N280" s="311" t="s">
        <v>1699</v>
      </c>
    </row>
    <row r="281" spans="1:14" s="311" customFormat="1" ht="15.5">
      <c r="A281" s="611">
        <f t="shared" si="14"/>
        <v>277</v>
      </c>
      <c r="B281" s="65">
        <v>20</v>
      </c>
      <c r="C281" s="1005" t="s">
        <v>676</v>
      </c>
      <c r="D281" s="65" t="str">
        <f>IFERROR(VLOOKUP(C281,Foundation!$C$5:$D$554,2,0),"")</f>
        <v>DB1+9</v>
      </c>
      <c r="E281" s="732">
        <v>45975</v>
      </c>
      <c r="F281" s="732">
        <v>45988</v>
      </c>
      <c r="G281" s="64" t="s">
        <v>1525</v>
      </c>
      <c r="H281" s="557">
        <f t="shared" si="12"/>
        <v>66.780901</v>
      </c>
      <c r="I281" s="773">
        <f t="shared" si="13"/>
        <v>6.2218696967283993</v>
      </c>
      <c r="J281" s="64" t="s">
        <v>1534</v>
      </c>
      <c r="K281" s="1010" t="s">
        <v>255</v>
      </c>
      <c r="L281" s="1010" t="s">
        <v>1658</v>
      </c>
      <c r="M281" s="311" t="s">
        <v>1712</v>
      </c>
      <c r="N281" s="311" t="s">
        <v>1713</v>
      </c>
    </row>
    <row r="282" spans="1:14" s="311" customFormat="1" ht="15.5">
      <c r="A282" s="611">
        <f t="shared" si="14"/>
        <v>278</v>
      </c>
      <c r="B282" s="65">
        <v>21</v>
      </c>
      <c r="C282" s="1005" t="s">
        <v>181</v>
      </c>
      <c r="D282" s="65" t="str">
        <f>IFERROR(VLOOKUP(C282,Foundation!$C$5:$D$554,2,0),"")</f>
        <v>DA+6</v>
      </c>
      <c r="E282" s="732">
        <v>45982</v>
      </c>
      <c r="F282" s="732">
        <v>45988</v>
      </c>
      <c r="G282" s="64" t="s">
        <v>1498</v>
      </c>
      <c r="H282" s="557">
        <f t="shared" si="12"/>
        <v>43.804423999999997</v>
      </c>
      <c r="I282" s="773">
        <f t="shared" si="13"/>
        <v>4.0811880970015997</v>
      </c>
      <c r="J282" s="64" t="s">
        <v>1537</v>
      </c>
      <c r="K282" s="1010" t="s">
        <v>255</v>
      </c>
      <c r="L282" s="1010" t="s">
        <v>1658</v>
      </c>
      <c r="M282" s="311" t="s">
        <v>1694</v>
      </c>
      <c r="N282" s="311" t="s">
        <v>1695</v>
      </c>
    </row>
    <row r="283" spans="1:14" s="311" customFormat="1" ht="15.5">
      <c r="A283" s="611">
        <f t="shared" si="14"/>
        <v>279</v>
      </c>
      <c r="B283" s="65">
        <v>22</v>
      </c>
      <c r="C283" s="1005" t="s">
        <v>422</v>
      </c>
      <c r="D283" s="65" t="str">
        <f>IFERROR(VLOOKUP(C283,Foundation!$C$5:$D$554,2,0),"")</f>
        <v>DA+0</v>
      </c>
      <c r="E283" s="732">
        <v>45983</v>
      </c>
      <c r="F283" s="732">
        <v>45989</v>
      </c>
      <c r="G283" s="64" t="s">
        <v>1487</v>
      </c>
      <c r="H283" s="557">
        <f t="shared" si="12"/>
        <v>36.159755999999994</v>
      </c>
      <c r="I283" s="773">
        <f t="shared" si="13"/>
        <v>3.3689466109103994</v>
      </c>
      <c r="J283" s="64" t="s">
        <v>1547</v>
      </c>
      <c r="K283" s="1010" t="s">
        <v>255</v>
      </c>
      <c r="L283" s="1010" t="s">
        <v>1658</v>
      </c>
      <c r="M283" s="311" t="s">
        <v>1704</v>
      </c>
      <c r="N283" s="311" t="s">
        <v>1705</v>
      </c>
    </row>
    <row r="284" spans="1:14" s="311" customFormat="1" ht="15.5">
      <c r="A284" s="611">
        <f t="shared" si="14"/>
        <v>280</v>
      </c>
      <c r="B284" s="65">
        <v>23</v>
      </c>
      <c r="C284" s="1005" t="s">
        <v>60</v>
      </c>
      <c r="D284" s="65" t="str">
        <f>IFERROR(VLOOKUP(C284,Foundation!$C$5:$D$554,2,0),"")</f>
        <v>DD60+35</v>
      </c>
      <c r="E284" s="732">
        <v>45969</v>
      </c>
      <c r="F284" s="732">
        <v>45990</v>
      </c>
      <c r="G284" s="64" t="s">
        <v>1522</v>
      </c>
      <c r="H284" s="557">
        <f t="shared" si="12"/>
        <v>173.560912</v>
      </c>
      <c r="I284" s="773">
        <f t="shared" si="13"/>
        <v>16.170392473580801</v>
      </c>
      <c r="J284" s="64" t="s">
        <v>1491</v>
      </c>
      <c r="K284" s="1010" t="s">
        <v>255</v>
      </c>
      <c r="L284" s="1010" t="s">
        <v>1658</v>
      </c>
      <c r="M284" s="311" t="s">
        <v>1729</v>
      </c>
      <c r="N284" s="311" t="s">
        <v>1730</v>
      </c>
    </row>
    <row r="285" spans="1:14" s="311" customFormat="1" ht="15.5">
      <c r="A285" s="611">
        <f t="shared" si="14"/>
        <v>281</v>
      </c>
      <c r="B285" s="65">
        <v>24</v>
      </c>
      <c r="C285" s="1005" t="s">
        <v>58</v>
      </c>
      <c r="D285" s="65" t="str">
        <f>IFERROR(VLOOKUP(C285,Foundation!$C$5:$D$554,2,0),"")</f>
        <v>DD60+18</v>
      </c>
      <c r="E285" s="732">
        <v>45973</v>
      </c>
      <c r="F285" s="732">
        <v>45990</v>
      </c>
      <c r="G285" s="64" t="s">
        <v>1493</v>
      </c>
      <c r="H285" s="557">
        <f t="shared" si="12"/>
        <v>124.94995199999998</v>
      </c>
      <c r="I285" s="773">
        <f t="shared" si="13"/>
        <v>11.641387107916797</v>
      </c>
      <c r="J285" s="64" t="s">
        <v>1173</v>
      </c>
      <c r="K285" s="1010" t="s">
        <v>255</v>
      </c>
      <c r="L285" s="1010" t="s">
        <v>1658</v>
      </c>
      <c r="M285" s="311" t="s">
        <v>1737</v>
      </c>
      <c r="N285" s="311" t="s">
        <v>1738</v>
      </c>
    </row>
    <row r="286" spans="1:14" s="311" customFormat="1" ht="15.5">
      <c r="A286" s="611">
        <f t="shared" si="14"/>
        <v>282</v>
      </c>
      <c r="B286" s="65">
        <v>1</v>
      </c>
      <c r="C286" s="1005" t="s">
        <v>308</v>
      </c>
      <c r="D286" s="65" t="str">
        <f>IFERROR(VLOOKUP(C286,Foundation!$C$5:$D$554,2,0),"")</f>
        <v>DA+6</v>
      </c>
      <c r="E286" s="732">
        <v>45988</v>
      </c>
      <c r="F286" s="732">
        <v>45994</v>
      </c>
      <c r="G286" s="64" t="s">
        <v>1526</v>
      </c>
      <c r="H286" s="557">
        <f t="shared" si="12"/>
        <v>43.804423999999997</v>
      </c>
      <c r="I286" s="773">
        <f t="shared" si="13"/>
        <v>4.0811880970015997</v>
      </c>
      <c r="J286" s="64" t="s">
        <v>1500</v>
      </c>
      <c r="K286" s="1010" t="s">
        <v>255</v>
      </c>
      <c r="L286" s="1010" t="s">
        <v>1658</v>
      </c>
      <c r="M286" s="311" t="s">
        <v>1694</v>
      </c>
      <c r="N286" s="311" t="s">
        <v>1695</v>
      </c>
    </row>
    <row r="287" spans="1:14" s="311" customFormat="1" ht="15.5">
      <c r="A287" s="611">
        <f t="shared" si="14"/>
        <v>283</v>
      </c>
      <c r="B287" s="65">
        <v>2</v>
      </c>
      <c r="C287" s="1005" t="s">
        <v>153</v>
      </c>
      <c r="D287" s="65" t="str">
        <f>IFERROR(VLOOKUP(C287,Foundation!$C$5:$D$554,2,0),"")</f>
        <v>DA+1.5</v>
      </c>
      <c r="E287" s="732">
        <v>45989</v>
      </c>
      <c r="F287" s="732">
        <v>45996</v>
      </c>
      <c r="G287" s="64" t="s">
        <v>1486</v>
      </c>
      <c r="H287" s="557">
        <f t="shared" si="12"/>
        <v>37.138323999999997</v>
      </c>
      <c r="I287" s="773">
        <f t="shared" si="13"/>
        <v>3.4601182257615997</v>
      </c>
      <c r="J287" s="64" t="s">
        <v>662</v>
      </c>
      <c r="K287" s="1010" t="s">
        <v>255</v>
      </c>
      <c r="L287" s="1010" t="s">
        <v>1658</v>
      </c>
      <c r="M287" s="311" t="s">
        <v>1700</v>
      </c>
      <c r="N287" s="311" t="s">
        <v>1701</v>
      </c>
    </row>
    <row r="288" spans="1:14" s="311" customFormat="1" ht="15.5">
      <c r="A288" s="611">
        <f t="shared" si="14"/>
        <v>284</v>
      </c>
      <c r="B288" s="65">
        <v>3</v>
      </c>
      <c r="C288" s="1005" t="s">
        <v>425</v>
      </c>
      <c r="D288" s="65" t="str">
        <f>IFERROR(VLOOKUP(C288,Foundation!$C$5:$D$554,2,0),"")</f>
        <v>DA+6</v>
      </c>
      <c r="E288" s="732">
        <v>45990</v>
      </c>
      <c r="F288" s="732">
        <v>45997</v>
      </c>
      <c r="G288" s="64" t="s">
        <v>1487</v>
      </c>
      <c r="H288" s="557">
        <f t="shared" si="12"/>
        <v>43.804423999999997</v>
      </c>
      <c r="I288" s="773">
        <f t="shared" si="13"/>
        <v>4.0811880970015997</v>
      </c>
      <c r="J288" s="64" t="s">
        <v>1547</v>
      </c>
      <c r="K288" s="1010" t="s">
        <v>255</v>
      </c>
      <c r="L288" s="1010" t="s">
        <v>1658</v>
      </c>
      <c r="M288" s="311" t="s">
        <v>1694</v>
      </c>
      <c r="N288" s="311" t="s">
        <v>1695</v>
      </c>
    </row>
    <row r="289" spans="1:15" s="311" customFormat="1" ht="15.5">
      <c r="A289" s="611">
        <f t="shared" si="14"/>
        <v>285</v>
      </c>
      <c r="B289" s="65">
        <v>4</v>
      </c>
      <c r="C289" s="1005" t="s">
        <v>409</v>
      </c>
      <c r="D289" s="65" t="str">
        <f>IFERROR(VLOOKUP(C289,Foundation!$C$5:$D$554,2,0),"")</f>
        <v>DA+0</v>
      </c>
      <c r="E289" s="732">
        <f>F286+1</f>
        <v>45995</v>
      </c>
      <c r="F289" s="732">
        <v>46003</v>
      </c>
      <c r="G289" s="64" t="s">
        <v>1526</v>
      </c>
      <c r="H289" s="557">
        <f t="shared" si="12"/>
        <v>36.159755999999994</v>
      </c>
      <c r="I289" s="773">
        <f t="shared" si="13"/>
        <v>3.3689466109103994</v>
      </c>
      <c r="J289" s="64" t="s">
        <v>1500</v>
      </c>
      <c r="K289" s="1010" t="s">
        <v>255</v>
      </c>
      <c r="L289" s="1010" t="s">
        <v>1658</v>
      </c>
      <c r="M289" s="311" t="s">
        <v>1704</v>
      </c>
      <c r="N289" s="311" t="s">
        <v>1705</v>
      </c>
    </row>
    <row r="290" spans="1:15" s="311" customFormat="1" ht="15.5">
      <c r="A290" s="611">
        <f t="shared" si="14"/>
        <v>286</v>
      </c>
      <c r="B290" s="65">
        <v>5</v>
      </c>
      <c r="C290" s="1005" t="s">
        <v>61</v>
      </c>
      <c r="D290" s="65" t="str">
        <f>IFERROR(VLOOKUP(C290,Foundation!$C$5:$D$554,2,0),"")</f>
        <v>DA+9</v>
      </c>
      <c r="E290" s="732">
        <v>45996</v>
      </c>
      <c r="F290" s="732">
        <v>46005</v>
      </c>
      <c r="G290" s="64" t="s">
        <v>1486</v>
      </c>
      <c r="H290" s="557">
        <f t="shared" si="12"/>
        <v>45.697022000000004</v>
      </c>
      <c r="I290" s="773">
        <f t="shared" si="13"/>
        <v>4.2575184245048003</v>
      </c>
      <c r="J290" s="64" t="s">
        <v>662</v>
      </c>
      <c r="K290" s="1010" t="s">
        <v>255</v>
      </c>
      <c r="L290" s="1010" t="s">
        <v>1658</v>
      </c>
      <c r="M290" s="311" t="s">
        <v>1702</v>
      </c>
      <c r="N290" s="311" t="s">
        <v>1703</v>
      </c>
    </row>
    <row r="291" spans="1:15" s="311" customFormat="1" ht="15.5">
      <c r="A291" s="611">
        <f t="shared" si="14"/>
        <v>287</v>
      </c>
      <c r="B291" s="65">
        <v>6</v>
      </c>
      <c r="C291" s="1005" t="s">
        <v>11</v>
      </c>
      <c r="D291" s="65" t="str">
        <f>IFERROR(VLOOKUP(C291,Foundation!$C$5:$D$554,2,0),"")</f>
        <v>DD60+18</v>
      </c>
      <c r="E291" s="732">
        <v>45991</v>
      </c>
      <c r="F291" s="732">
        <v>46008</v>
      </c>
      <c r="G291" s="64" t="s">
        <v>1522</v>
      </c>
      <c r="H291" s="557">
        <f t="shared" si="12"/>
        <v>124.94995199999998</v>
      </c>
      <c r="I291" s="773">
        <f t="shared" si="13"/>
        <v>11.641387107916797</v>
      </c>
      <c r="J291" s="64" t="s">
        <v>1479</v>
      </c>
      <c r="K291" s="1010" t="s">
        <v>255</v>
      </c>
      <c r="L291" s="1010" t="s">
        <v>1658</v>
      </c>
      <c r="M291" s="311" t="s">
        <v>1737</v>
      </c>
      <c r="N291" s="311" t="s">
        <v>1738</v>
      </c>
    </row>
    <row r="292" spans="1:15" s="311" customFormat="1" ht="15.5">
      <c r="A292" s="611">
        <f t="shared" si="14"/>
        <v>288</v>
      </c>
      <c r="B292" s="65">
        <v>7</v>
      </c>
      <c r="C292" s="1005" t="s">
        <v>433</v>
      </c>
      <c r="D292" s="65" t="str">
        <f>IFERROR(VLOOKUP(C292,Foundation!$C$5:$D$554,2,0),"")</f>
        <v>DA+0</v>
      </c>
      <c r="E292" s="732">
        <v>46003</v>
      </c>
      <c r="F292" s="732">
        <v>46011</v>
      </c>
      <c r="G292" s="64" t="s">
        <v>1487</v>
      </c>
      <c r="H292" s="557">
        <f t="shared" si="12"/>
        <v>36.159755999999994</v>
      </c>
      <c r="I292" s="773">
        <f t="shared" si="13"/>
        <v>3.3689466109103994</v>
      </c>
      <c r="J292" s="64" t="s">
        <v>662</v>
      </c>
      <c r="K292" s="1010" t="s">
        <v>255</v>
      </c>
      <c r="L292" s="1010" t="s">
        <v>1658</v>
      </c>
      <c r="M292" s="311" t="s">
        <v>1704</v>
      </c>
      <c r="N292" s="311" t="s">
        <v>1705</v>
      </c>
    </row>
    <row r="293" spans="1:15" s="311" customFormat="1" ht="15.5">
      <c r="A293" s="611">
        <f t="shared" si="14"/>
        <v>289</v>
      </c>
      <c r="B293" s="65">
        <v>8</v>
      </c>
      <c r="C293" s="1005" t="s">
        <v>1791</v>
      </c>
      <c r="D293" s="65" t="s">
        <v>1618</v>
      </c>
      <c r="E293" s="732">
        <v>45991</v>
      </c>
      <c r="F293" s="732">
        <v>46012</v>
      </c>
      <c r="G293" s="64" t="s">
        <v>1490</v>
      </c>
      <c r="H293" s="557">
        <v>82.998000000000005</v>
      </c>
      <c r="I293" s="773">
        <f>H293*9316.84/10^5</f>
        <v>7.7327908632</v>
      </c>
      <c r="J293" s="64" t="s">
        <v>1173</v>
      </c>
      <c r="K293" s="1010" t="s">
        <v>255</v>
      </c>
      <c r="L293" s="1010" t="s">
        <v>1658</v>
      </c>
      <c r="M293" s="311" t="s">
        <v>1739</v>
      </c>
      <c r="N293" s="311" t="s">
        <v>1740</v>
      </c>
      <c r="O293" s="311" t="s">
        <v>1793</v>
      </c>
    </row>
    <row r="294" spans="1:15" s="311" customFormat="1" ht="15.5">
      <c r="A294" s="611">
        <f t="shared" si="14"/>
        <v>290</v>
      </c>
      <c r="B294" s="65">
        <v>9</v>
      </c>
      <c r="C294" s="1005" t="s">
        <v>424</v>
      </c>
      <c r="D294" s="65" t="str">
        <f>IFERROR(VLOOKUP(C294,Foundation!$C$5:$D$554,2,0),"")</f>
        <v>DA+0</v>
      </c>
      <c r="E294" s="732">
        <v>45998</v>
      </c>
      <c r="F294" s="732">
        <v>46012</v>
      </c>
      <c r="G294" s="64" t="s">
        <v>1525</v>
      </c>
      <c r="H294" s="557">
        <f t="shared" ref="H294:H307" si="15">VLOOKUP(D294,$D$316:$I$345,6,0)</f>
        <v>36.159755999999994</v>
      </c>
      <c r="I294" s="773">
        <f t="shared" ref="I294:I307" si="16">IFERROR(VLOOKUP(D294,$D$316:$K$345,8,0)/10^5,"")</f>
        <v>3.3689466109103994</v>
      </c>
      <c r="J294" s="64" t="s">
        <v>1595</v>
      </c>
      <c r="K294" s="1010" t="s">
        <v>255</v>
      </c>
      <c r="L294" s="1010" t="s">
        <v>1658</v>
      </c>
      <c r="M294" s="311" t="s">
        <v>1704</v>
      </c>
      <c r="N294" s="311" t="s">
        <v>1705</v>
      </c>
    </row>
    <row r="295" spans="1:15" s="311" customFormat="1" ht="15.5">
      <c r="A295" s="611">
        <f t="shared" si="14"/>
        <v>291</v>
      </c>
      <c r="B295" s="65">
        <v>10</v>
      </c>
      <c r="C295" s="1005" t="s">
        <v>13</v>
      </c>
      <c r="D295" s="65" t="str">
        <f>IFERROR(VLOOKUP(C295,Foundation!$C$5:$D$554,2,0),"")</f>
        <v>DC1+3</v>
      </c>
      <c r="E295" s="732">
        <v>45977</v>
      </c>
      <c r="F295" s="732">
        <v>46014</v>
      </c>
      <c r="G295" s="64" t="s">
        <v>1489</v>
      </c>
      <c r="H295" s="557">
        <f t="shared" si="15"/>
        <v>65.872484</v>
      </c>
      <c r="I295" s="773">
        <f t="shared" si="16"/>
        <v>6.1372339383056005</v>
      </c>
      <c r="J295" s="64" t="s">
        <v>1547</v>
      </c>
      <c r="K295" s="1010" t="s">
        <v>255</v>
      </c>
      <c r="L295" s="1010" t="s">
        <v>1658</v>
      </c>
      <c r="M295" s="311" t="s">
        <v>1741</v>
      </c>
      <c r="N295" s="311" t="s">
        <v>1742</v>
      </c>
    </row>
    <row r="296" spans="1:15" s="1112" customFormat="1" ht="15.5">
      <c r="A296" s="65">
        <f t="shared" si="14"/>
        <v>292</v>
      </c>
      <c r="B296" s="65">
        <v>11</v>
      </c>
      <c r="C296" s="1005" t="s">
        <v>440</v>
      </c>
      <c r="D296" s="65" t="str">
        <f>IFERROR(VLOOKUP(C296,Foundation!$C$5:$D$554,2,0),"")</f>
        <v>DA+0</v>
      </c>
      <c r="E296" s="732">
        <v>46012</v>
      </c>
      <c r="F296" s="732">
        <v>46017</v>
      </c>
      <c r="G296" s="64" t="s">
        <v>1487</v>
      </c>
      <c r="H296" s="557">
        <f t="shared" si="15"/>
        <v>36.159755999999994</v>
      </c>
      <c r="I296" s="773">
        <f t="shared" si="16"/>
        <v>3.3689466109103994</v>
      </c>
      <c r="J296" s="64" t="s">
        <v>662</v>
      </c>
      <c r="K296" s="1010" t="s">
        <v>255</v>
      </c>
      <c r="L296" s="1010" t="s">
        <v>1658</v>
      </c>
      <c r="M296" s="311" t="s">
        <v>1704</v>
      </c>
      <c r="N296" s="311" t="s">
        <v>1705</v>
      </c>
    </row>
    <row r="297" spans="1:15" s="1112" customFormat="1" ht="15.5">
      <c r="A297" s="65">
        <f t="shared" si="14"/>
        <v>293</v>
      </c>
      <c r="B297" s="65">
        <v>12</v>
      </c>
      <c r="C297" s="1005" t="s">
        <v>644</v>
      </c>
      <c r="D297" s="65" t="str">
        <f>IFERROR(VLOOKUP(C297,Foundation!$C$5:$D$554,2,0),"")</f>
        <v>DA-1.5</v>
      </c>
      <c r="E297" s="732">
        <v>46013</v>
      </c>
      <c r="F297" s="732">
        <v>46022</v>
      </c>
      <c r="G297" s="64" t="s">
        <v>1490</v>
      </c>
      <c r="H297" s="557">
        <f t="shared" si="15"/>
        <v>35.601761999999994</v>
      </c>
      <c r="I297" s="773">
        <f t="shared" si="16"/>
        <v>3.3169592027207995</v>
      </c>
      <c r="J297" s="64" t="s">
        <v>1173</v>
      </c>
      <c r="K297" s="1010" t="s">
        <v>255</v>
      </c>
      <c r="L297" s="1010" t="s">
        <v>1658</v>
      </c>
      <c r="M297" s="311" t="s">
        <v>1698</v>
      </c>
      <c r="N297" s="311" t="s">
        <v>1699</v>
      </c>
    </row>
    <row r="298" spans="1:15" s="311" customFormat="1" ht="15.5">
      <c r="A298" s="65">
        <f t="shared" si="14"/>
        <v>294</v>
      </c>
      <c r="B298" s="65">
        <v>13</v>
      </c>
      <c r="C298" s="1005" t="s">
        <v>267</v>
      </c>
      <c r="D298" s="65" t="str">
        <f>IFERROR(VLOOKUP(C298,Foundation!$C$5:$D$554,2,0),"")</f>
        <v>DD60+9</v>
      </c>
      <c r="E298" s="732">
        <v>46009</v>
      </c>
      <c r="F298" s="732">
        <v>46022</v>
      </c>
      <c r="G298" s="64" t="s">
        <v>1522</v>
      </c>
      <c r="H298" s="557">
        <f t="shared" si="15"/>
        <v>101.952592</v>
      </c>
      <c r="I298" s="773">
        <f t="shared" si="16"/>
        <v>9.4987598724927995</v>
      </c>
      <c r="J298" s="64" t="s">
        <v>1479</v>
      </c>
      <c r="K298" s="1010" t="s">
        <v>255</v>
      </c>
      <c r="L298" s="1010" t="s">
        <v>1658</v>
      </c>
      <c r="M298" s="311" t="s">
        <v>1743</v>
      </c>
      <c r="N298" s="311" t="s">
        <v>1744</v>
      </c>
    </row>
    <row r="299" spans="1:15" s="311" customFormat="1" ht="15.5">
      <c r="A299" s="65">
        <f t="shared" si="14"/>
        <v>295</v>
      </c>
      <c r="B299" s="65">
        <v>1</v>
      </c>
      <c r="C299" s="1005" t="s">
        <v>903</v>
      </c>
      <c r="D299" s="65" t="str">
        <f>IFERROR(VLOOKUP(C299,Foundation!$C$5:$D$554,2,0),"")</f>
        <v>DA+6</v>
      </c>
      <c r="E299" s="732">
        <v>46018</v>
      </c>
      <c r="F299" s="732">
        <v>46028</v>
      </c>
      <c r="G299" s="64" t="s">
        <v>1487</v>
      </c>
      <c r="H299" s="557">
        <f t="shared" si="15"/>
        <v>43.804423999999997</v>
      </c>
      <c r="I299" s="773">
        <f t="shared" si="16"/>
        <v>4.0811880970015997</v>
      </c>
      <c r="J299" s="64" t="s">
        <v>662</v>
      </c>
      <c r="K299" s="1010" t="s">
        <v>255</v>
      </c>
      <c r="L299" s="1010" t="s">
        <v>1658</v>
      </c>
      <c r="M299" s="311" t="s">
        <v>1694</v>
      </c>
      <c r="N299" s="311" t="s">
        <v>1695</v>
      </c>
    </row>
    <row r="300" spans="1:15" s="311" customFormat="1" ht="15.5">
      <c r="A300" s="65">
        <f t="shared" si="14"/>
        <v>296</v>
      </c>
      <c r="B300" s="65">
        <v>2</v>
      </c>
      <c r="C300" s="1005" t="s">
        <v>592</v>
      </c>
      <c r="D300" s="65" t="str">
        <f>IFERROR(VLOOKUP(C300,Foundation!$C$5:$D$554,2,0),"")</f>
        <v>DA-3</v>
      </c>
      <c r="E300" s="732">
        <v>46029</v>
      </c>
      <c r="F300" s="732">
        <v>46033</v>
      </c>
      <c r="G300" s="64" t="s">
        <v>1487</v>
      </c>
      <c r="H300" s="557">
        <f t="shared" si="15"/>
        <v>34.789810000000003</v>
      </c>
      <c r="I300" s="773">
        <f t="shared" si="16"/>
        <v>3.2413109340040003</v>
      </c>
      <c r="J300" s="64" t="s">
        <v>662</v>
      </c>
      <c r="K300" s="1010" t="s">
        <v>255</v>
      </c>
      <c r="L300" s="1010" t="s">
        <v>1658</v>
      </c>
      <c r="M300" s="311" t="s">
        <v>1706</v>
      </c>
      <c r="N300" s="311" t="s">
        <v>1707</v>
      </c>
    </row>
    <row r="301" spans="1:15" s="311" customFormat="1" ht="15.5">
      <c r="A301" s="65">
        <f t="shared" si="14"/>
        <v>297</v>
      </c>
      <c r="B301" s="65">
        <v>3</v>
      </c>
      <c r="C301" s="1005" t="s">
        <v>485</v>
      </c>
      <c r="D301" s="65" t="str">
        <f>IFERROR(VLOOKUP(C301,Foundation!$C$5:$D$554,2,0),"")</f>
        <v>DB1+9</v>
      </c>
      <c r="E301" s="732">
        <v>46023</v>
      </c>
      <c r="F301" s="732">
        <v>46042</v>
      </c>
      <c r="G301" s="64" t="s">
        <v>1522</v>
      </c>
      <c r="H301" s="557">
        <f t="shared" si="15"/>
        <v>66.780901</v>
      </c>
      <c r="I301" s="773">
        <f t="shared" si="16"/>
        <v>6.2218696967283993</v>
      </c>
      <c r="J301" s="64" t="s">
        <v>1595</v>
      </c>
      <c r="K301" s="1010" t="s">
        <v>255</v>
      </c>
      <c r="L301" s="1010" t="s">
        <v>1658</v>
      </c>
      <c r="M301" s="311" t="s">
        <v>1712</v>
      </c>
      <c r="N301" s="311" t="s">
        <v>1713</v>
      </c>
    </row>
    <row r="302" spans="1:15" s="311" customFormat="1" ht="15.5">
      <c r="A302" s="65">
        <f t="shared" si="14"/>
        <v>298</v>
      </c>
      <c r="B302" s="65">
        <v>4</v>
      </c>
      <c r="C302" s="1005" t="s">
        <v>604</v>
      </c>
      <c r="D302" s="65" t="str">
        <f>IFERROR(VLOOKUP(C302,Foundation!$C$5:$D$554,2,0),"")</f>
        <v>DA+3</v>
      </c>
      <c r="E302" s="732">
        <v>46034</v>
      </c>
      <c r="F302" s="732">
        <v>46044</v>
      </c>
      <c r="G302" s="64" t="s">
        <v>1487</v>
      </c>
      <c r="H302" s="557">
        <f t="shared" si="15"/>
        <v>37.931087999999995</v>
      </c>
      <c r="I302" s="773">
        <f t="shared" si="16"/>
        <v>3.5339787792191997</v>
      </c>
      <c r="J302" s="64" t="s">
        <v>662</v>
      </c>
      <c r="K302" s="1010" t="s">
        <v>255</v>
      </c>
      <c r="L302" s="1010" t="s">
        <v>1658</v>
      </c>
      <c r="M302" s="311" t="s">
        <v>1696</v>
      </c>
      <c r="N302" s="311" t="s">
        <v>1697</v>
      </c>
    </row>
    <row r="303" spans="1:15" s="311" customFormat="1" ht="15.5">
      <c r="A303" s="65">
        <f t="shared" si="14"/>
        <v>299</v>
      </c>
      <c r="B303" s="65">
        <v>5</v>
      </c>
      <c r="C303" s="1005" t="s">
        <v>1250</v>
      </c>
      <c r="D303" s="65" t="str">
        <f>IFERROR(VLOOKUP(C303,Foundation!$C$5:$D$554,2,0),"")</f>
        <v>DD45+0</v>
      </c>
      <c r="E303" s="732">
        <v>46023</v>
      </c>
      <c r="F303" s="732">
        <v>46047</v>
      </c>
      <c r="G303" s="64" t="s">
        <v>1490</v>
      </c>
      <c r="H303" s="557">
        <f t="shared" si="15"/>
        <v>73.244547999999995</v>
      </c>
      <c r="I303" s="773">
        <f t="shared" si="16"/>
        <v>6.8240773458832003</v>
      </c>
      <c r="J303" s="64" t="s">
        <v>1502</v>
      </c>
      <c r="K303" s="1010" t="s">
        <v>255</v>
      </c>
      <c r="L303" s="1010" t="s">
        <v>1658</v>
      </c>
      <c r="M303" s="311" t="s">
        <v>1735</v>
      </c>
      <c r="N303" s="311" t="s">
        <v>1736</v>
      </c>
    </row>
    <row r="304" spans="1:15" s="311" customFormat="1" ht="15.5">
      <c r="A304" s="65">
        <f t="shared" si="14"/>
        <v>300</v>
      </c>
      <c r="B304" s="65">
        <v>6</v>
      </c>
      <c r="C304" s="1005" t="s">
        <v>605</v>
      </c>
      <c r="D304" s="65" t="str">
        <f>IFERROR(VLOOKUP(C304,Foundation!$C$5:$D$554,2,0),"")</f>
        <v>DA-1.5</v>
      </c>
      <c r="E304" s="732">
        <f>F302+1</f>
        <v>46045</v>
      </c>
      <c r="F304" s="732">
        <v>46051</v>
      </c>
      <c r="G304" s="64" t="s">
        <v>1487</v>
      </c>
      <c r="H304" s="557">
        <f t="shared" si="15"/>
        <v>35.601761999999994</v>
      </c>
      <c r="I304" s="773">
        <f t="shared" si="16"/>
        <v>3.3169592027207995</v>
      </c>
      <c r="J304" s="64" t="s">
        <v>662</v>
      </c>
      <c r="K304" s="1010" t="s">
        <v>255</v>
      </c>
      <c r="L304" s="1010" t="s">
        <v>1658</v>
      </c>
      <c r="M304" s="311" t="s">
        <v>1698</v>
      </c>
      <c r="N304" s="311" t="s">
        <v>1699</v>
      </c>
    </row>
    <row r="305" spans="1:14" s="311" customFormat="1" ht="15.5">
      <c r="A305" s="65">
        <f t="shared" si="14"/>
        <v>301</v>
      </c>
      <c r="B305" s="65">
        <v>1</v>
      </c>
      <c r="C305" s="1005" t="s">
        <v>8</v>
      </c>
      <c r="D305" s="65" t="str">
        <f>IFERROR(VLOOKUP(C305,Foundation!$C$5:$D$554,2,0),"")</f>
        <v>DB2+3</v>
      </c>
      <c r="E305" s="732">
        <v>46044</v>
      </c>
      <c r="F305" s="732">
        <v>46057</v>
      </c>
      <c r="G305" s="64" t="s">
        <v>1522</v>
      </c>
      <c r="H305" s="557">
        <f t="shared" si="15"/>
        <v>62.116156000000004</v>
      </c>
      <c r="I305" s="773">
        <f t="shared" si="16"/>
        <v>5.7872628686704006</v>
      </c>
      <c r="J305" s="64" t="s">
        <v>1502</v>
      </c>
      <c r="K305" s="1010" t="s">
        <v>255</v>
      </c>
      <c r="L305" s="1010" t="s">
        <v>1658</v>
      </c>
      <c r="M305" s="311" t="s">
        <v>1708</v>
      </c>
      <c r="N305" s="311" t="s">
        <v>1745</v>
      </c>
    </row>
    <row r="306" spans="1:14" s="311" customFormat="1" ht="15.5">
      <c r="A306" s="65">
        <f t="shared" si="14"/>
        <v>302</v>
      </c>
      <c r="B306" s="65">
        <v>2</v>
      </c>
      <c r="C306" s="1005" t="s">
        <v>78</v>
      </c>
      <c r="D306" s="65" t="str">
        <f>IFERROR(VLOOKUP(C306,Foundation!$C$5:$D$554,2,0),"")</f>
        <v>DB1+0</v>
      </c>
      <c r="E306" s="732">
        <v>46054</v>
      </c>
      <c r="F306" s="732">
        <v>46067</v>
      </c>
      <c r="G306" s="64" t="s">
        <v>1627</v>
      </c>
      <c r="H306" s="557">
        <f t="shared" si="15"/>
        <v>55.450851000000007</v>
      </c>
      <c r="I306" s="773">
        <f t="shared" si="16"/>
        <v>5.1662670663084009</v>
      </c>
      <c r="J306" s="64" t="s">
        <v>1628</v>
      </c>
      <c r="K306" s="1010" t="s">
        <v>255</v>
      </c>
      <c r="L306" s="1010" t="s">
        <v>1658</v>
      </c>
      <c r="M306" s="311" t="s">
        <v>1716</v>
      </c>
      <c r="N306" s="311" t="s">
        <v>1717</v>
      </c>
    </row>
    <row r="307" spans="1:14" s="311" customFormat="1" ht="15.5">
      <c r="A307" s="65">
        <f t="shared" si="14"/>
        <v>303</v>
      </c>
      <c r="B307" s="65">
        <v>3</v>
      </c>
      <c r="C307" s="1005" t="s">
        <v>599</v>
      </c>
      <c r="D307" s="65" t="str">
        <f>IFERROR(VLOOKUP(C307,Foundation!$C$5:$D$554,2,0),"")</f>
        <v>DA+3</v>
      </c>
      <c r="E307" s="732">
        <v>46060</v>
      </c>
      <c r="F307" s="732">
        <v>46069</v>
      </c>
      <c r="G307" s="64" t="s">
        <v>1522</v>
      </c>
      <c r="H307" s="557">
        <f t="shared" si="15"/>
        <v>37.931087999999995</v>
      </c>
      <c r="I307" s="773">
        <f t="shared" si="16"/>
        <v>3.5339787792191997</v>
      </c>
      <c r="J307" s="64" t="s">
        <v>1502</v>
      </c>
      <c r="K307" s="1010" t="s">
        <v>255</v>
      </c>
      <c r="L307" s="1010" t="s">
        <v>1658</v>
      </c>
      <c r="M307" s="311" t="s">
        <v>1696</v>
      </c>
      <c r="N307" s="311" t="s">
        <v>1697</v>
      </c>
    </row>
    <row r="308" spans="1:14" s="311" customFormat="1" ht="15.5">
      <c r="A308" s="65">
        <f t="shared" si="14"/>
        <v>304</v>
      </c>
      <c r="B308" s="65">
        <v>1</v>
      </c>
      <c r="C308" s="1005" t="s">
        <v>12</v>
      </c>
      <c r="D308" s="65" t="s">
        <v>173</v>
      </c>
      <c r="E308" s="732">
        <v>46175</v>
      </c>
      <c r="F308" s="732">
        <v>46192</v>
      </c>
      <c r="G308" s="64" t="s">
        <v>1475</v>
      </c>
      <c r="H308" s="557">
        <v>67.261727999999991</v>
      </c>
      <c r="I308" s="773"/>
      <c r="J308" s="64" t="s">
        <v>1842</v>
      </c>
      <c r="K308" s="1010" t="s">
        <v>255</v>
      </c>
      <c r="L308" s="1010"/>
    </row>
    <row r="309" spans="1:14" s="311" customFormat="1">
      <c r="A309" s="628">
        <f t="shared" si="14"/>
        <v>305</v>
      </c>
      <c r="B309" s="628"/>
      <c r="C309" s="1034" t="s">
        <v>1777</v>
      </c>
      <c r="D309" s="628" t="s">
        <v>215</v>
      </c>
      <c r="E309" s="774"/>
      <c r="F309" s="774"/>
      <c r="G309" s="672"/>
      <c r="H309" s="629">
        <v>72.155540000000002</v>
      </c>
      <c r="I309" s="775"/>
      <c r="J309" s="672"/>
      <c r="K309" s="1048"/>
      <c r="L309" s="1048"/>
    </row>
    <row r="310" spans="1:14" s="311" customFormat="1">
      <c r="A310" s="628">
        <f t="shared" si="14"/>
        <v>306</v>
      </c>
      <c r="B310" s="628"/>
      <c r="C310" s="1034" t="s">
        <v>1778</v>
      </c>
      <c r="D310" s="628" t="s">
        <v>430</v>
      </c>
      <c r="E310" s="774"/>
      <c r="F310" s="774"/>
      <c r="G310" s="672"/>
      <c r="H310" s="629">
        <v>96.880312000000004</v>
      </c>
      <c r="I310" s="775"/>
      <c r="J310" s="672"/>
      <c r="K310" s="1048"/>
      <c r="L310" s="1048"/>
    </row>
    <row r="311" spans="1:14" s="311" customFormat="1">
      <c r="A311" s="628">
        <f t="shared" si="14"/>
        <v>307</v>
      </c>
      <c r="B311" s="628"/>
      <c r="C311" s="1034" t="s">
        <v>1779</v>
      </c>
      <c r="D311" s="628" t="s">
        <v>215</v>
      </c>
      <c r="E311" s="774"/>
      <c r="F311" s="774"/>
      <c r="G311" s="672"/>
      <c r="H311" s="629">
        <v>72.155540000000002</v>
      </c>
      <c r="I311" s="775"/>
      <c r="J311" s="672"/>
      <c r="K311" s="1048"/>
      <c r="L311" s="1048"/>
    </row>
    <row r="312" spans="1:14" s="311" customFormat="1" ht="15" thickBot="1">
      <c r="C312" s="1046"/>
      <c r="E312" s="1143"/>
      <c r="F312" s="1143"/>
      <c r="G312" s="450"/>
      <c r="H312" s="733"/>
      <c r="I312" s="1144"/>
      <c r="J312" s="450"/>
      <c r="K312" s="1145"/>
      <c r="L312" s="1145"/>
    </row>
    <row r="313" spans="1:14">
      <c r="C313" s="1574" t="s">
        <v>1108</v>
      </c>
      <c r="D313" s="1436" t="s">
        <v>223</v>
      </c>
      <c r="E313" s="1577" t="s">
        <v>1109</v>
      </c>
      <c r="F313" s="1577"/>
      <c r="G313" s="1577"/>
      <c r="H313" s="1577"/>
      <c r="I313" s="1577"/>
      <c r="J313" s="28"/>
      <c r="K313" s="189"/>
    </row>
    <row r="314" spans="1:14" ht="43.5">
      <c r="C314" s="1575"/>
      <c r="D314" s="1576"/>
      <c r="E314" s="78" t="s">
        <v>1110</v>
      </c>
      <c r="F314" s="73" t="s">
        <v>1111</v>
      </c>
      <c r="G314" s="73" t="s">
        <v>1112</v>
      </c>
      <c r="H314" s="73" t="s">
        <v>1113</v>
      </c>
      <c r="I314" s="78" t="s">
        <v>1114</v>
      </c>
      <c r="J314" s="3"/>
      <c r="K314" s="1047" t="s">
        <v>1118</v>
      </c>
      <c r="L314" s="1075"/>
    </row>
    <row r="315" spans="1:14">
      <c r="C315" s="1049" t="s">
        <v>1115</v>
      </c>
      <c r="D315" s="1050"/>
      <c r="E315" s="1050"/>
      <c r="F315" s="1050"/>
      <c r="G315" s="1050"/>
      <c r="H315" s="1050"/>
      <c r="I315" s="1050"/>
      <c r="J315" s="1050"/>
      <c r="K315" s="1051"/>
      <c r="L315" s="1123"/>
    </row>
    <row r="316" spans="1:14">
      <c r="C316" s="593">
        <v>1</v>
      </c>
      <c r="D316" s="594" t="s">
        <v>3</v>
      </c>
      <c r="E316" s="595">
        <v>24.697671999999997</v>
      </c>
      <c r="F316" s="1014">
        <v>9.9266880000000004</v>
      </c>
      <c r="G316" s="1014">
        <v>3.0435E-2</v>
      </c>
      <c r="H316" s="1014">
        <v>1.504961</v>
      </c>
      <c r="I316" s="595">
        <f>SUM(E316:H316)</f>
        <v>36.159755999999994</v>
      </c>
      <c r="J316" s="3"/>
      <c r="K316" s="32">
        <f>9316.84*I316</f>
        <v>336894.66109103995</v>
      </c>
    </row>
    <row r="317" spans="1:14">
      <c r="C317" s="593">
        <v>2</v>
      </c>
      <c r="D317" s="596" t="s">
        <v>2</v>
      </c>
      <c r="E317" s="592">
        <v>25.518809999999998</v>
      </c>
      <c r="F317" s="1014">
        <v>10.831932</v>
      </c>
      <c r="G317" s="1014">
        <v>3.0628999999999997E-2</v>
      </c>
      <c r="H317" s="1014">
        <v>1.5497169999999998</v>
      </c>
      <c r="I317" s="595">
        <f t="shared" ref="I317:I346" si="17">SUM(E317:H317)</f>
        <v>37.931087999999995</v>
      </c>
      <c r="J317" s="3"/>
      <c r="K317" s="32">
        <f t="shared" ref="K317:K346" si="18">9316.84*I317</f>
        <v>353397.87792191998</v>
      </c>
    </row>
    <row r="318" spans="1:14">
      <c r="C318" s="593">
        <v>3</v>
      </c>
      <c r="D318" s="596" t="s">
        <v>79</v>
      </c>
      <c r="E318" s="592">
        <v>29.451642</v>
      </c>
      <c r="F318" s="1014">
        <v>12.621458000000001</v>
      </c>
      <c r="G318" s="1014">
        <v>3.0759000000000002E-2</v>
      </c>
      <c r="H318" s="1014">
        <v>1.7005650000000001</v>
      </c>
      <c r="I318" s="595">
        <f t="shared" si="17"/>
        <v>43.804423999999997</v>
      </c>
      <c r="J318" s="3"/>
      <c r="K318" s="32">
        <f>9316.84*I318</f>
        <v>408118.80970016</v>
      </c>
    </row>
    <row r="319" spans="1:14">
      <c r="C319" s="593">
        <v>4</v>
      </c>
      <c r="D319" s="596" t="s">
        <v>49</v>
      </c>
      <c r="E319" s="592">
        <v>30.247433999999998</v>
      </c>
      <c r="F319" s="1014">
        <v>13.658548000000001</v>
      </c>
      <c r="G319" s="1014">
        <v>3.1054999999999999E-2</v>
      </c>
      <c r="H319" s="1014">
        <v>1.7599850000000001</v>
      </c>
      <c r="I319" s="595">
        <f t="shared" si="17"/>
        <v>45.697022000000004</v>
      </c>
      <c r="J319" s="3"/>
      <c r="K319" s="32">
        <f t="shared" si="18"/>
        <v>425751.84245048004</v>
      </c>
    </row>
    <row r="320" spans="1:14">
      <c r="C320" s="593">
        <v>5</v>
      </c>
      <c r="D320" s="596" t="s">
        <v>154</v>
      </c>
      <c r="E320" s="595">
        <v>24.403597999999999</v>
      </c>
      <c r="F320" s="1014">
        <v>9.6764360000000007</v>
      </c>
      <c r="G320" s="1014">
        <v>3.0223E-2</v>
      </c>
      <c r="H320" s="1014">
        <v>1.4915049999999999</v>
      </c>
      <c r="I320" s="595">
        <f t="shared" si="17"/>
        <v>35.601761999999994</v>
      </c>
      <c r="J320" s="3"/>
      <c r="K320" s="32">
        <f t="shared" si="18"/>
        <v>331695.92027207994</v>
      </c>
    </row>
    <row r="321" spans="3:12">
      <c r="C321" s="593">
        <v>6</v>
      </c>
      <c r="D321" s="596" t="s">
        <v>4</v>
      </c>
      <c r="E321" s="595">
        <v>23.948781999999998</v>
      </c>
      <c r="F321" s="1014">
        <v>9.3495840000000001</v>
      </c>
      <c r="G321" s="1014">
        <v>3.0210999999999998E-2</v>
      </c>
      <c r="H321" s="1014">
        <v>1.461233</v>
      </c>
      <c r="I321" s="595">
        <f t="shared" si="17"/>
        <v>34.789810000000003</v>
      </c>
      <c r="J321" s="3"/>
      <c r="K321" s="32">
        <f t="shared" si="18"/>
        <v>324131.09340040002</v>
      </c>
    </row>
    <row r="322" spans="3:12">
      <c r="C322" s="593">
        <v>7</v>
      </c>
      <c r="D322" s="596" t="s">
        <v>989</v>
      </c>
      <c r="E322" s="595">
        <v>28.933322</v>
      </c>
      <c r="F322" s="1014">
        <v>12.283810000000001</v>
      </c>
      <c r="G322" s="1014">
        <v>3.0686999999999999E-2</v>
      </c>
      <c r="H322" s="1014">
        <v>1.6739999999999999</v>
      </c>
      <c r="I322" s="595">
        <f t="shared" si="17"/>
        <v>42.921818999999999</v>
      </c>
      <c r="J322" s="3"/>
      <c r="K322" s="32">
        <f t="shared" si="18"/>
        <v>399895.72013196</v>
      </c>
    </row>
    <row r="323" spans="3:12">
      <c r="C323" s="593">
        <v>8</v>
      </c>
      <c r="D323" s="596" t="s">
        <v>170</v>
      </c>
      <c r="E323" s="595">
        <v>25.261426</v>
      </c>
      <c r="F323" s="1014">
        <v>10.313587999999999</v>
      </c>
      <c r="G323" s="1014">
        <v>3.0518999999999998E-2</v>
      </c>
      <c r="H323" s="1014">
        <v>1.532791</v>
      </c>
      <c r="I323" s="595">
        <f t="shared" si="17"/>
        <v>37.138323999999997</v>
      </c>
      <c r="J323" s="3"/>
      <c r="K323" s="32">
        <f t="shared" si="18"/>
        <v>346011.82257615996</v>
      </c>
    </row>
    <row r="324" spans="3:12">
      <c r="C324" s="593">
        <v>9</v>
      </c>
      <c r="D324" s="596" t="s">
        <v>197</v>
      </c>
      <c r="E324" s="592">
        <v>42.084434000000002</v>
      </c>
      <c r="F324" s="1014">
        <v>10.82634</v>
      </c>
      <c r="G324" s="1014">
        <v>5.9184E-2</v>
      </c>
      <c r="H324" s="1014">
        <v>2.480893</v>
      </c>
      <c r="I324" s="595">
        <f t="shared" si="17"/>
        <v>55.450851000000007</v>
      </c>
      <c r="J324" s="3"/>
      <c r="K324" s="32">
        <f t="shared" si="18"/>
        <v>516626.70663084008</v>
      </c>
    </row>
    <row r="325" spans="3:12">
      <c r="C325" s="1016">
        <v>10</v>
      </c>
      <c r="D325" s="1009" t="s">
        <v>226</v>
      </c>
      <c r="E325" s="1015">
        <f>43746.578/1000</f>
        <v>43.746578</v>
      </c>
      <c r="F325" s="1014">
        <f>11615.294/1000</f>
        <v>11.615294</v>
      </c>
      <c r="G325" s="1014">
        <f>61.852/1000</f>
        <v>6.1851999999999997E-2</v>
      </c>
      <c r="H325" s="1014">
        <f>2539.447/1000</f>
        <v>2.539447</v>
      </c>
      <c r="I325" s="1014">
        <f t="shared" si="17"/>
        <v>57.963171000000003</v>
      </c>
      <c r="J325" s="10"/>
      <c r="K325" s="1017">
        <f t="shared" si="18"/>
        <v>540033.59009964007</v>
      </c>
      <c r="L325" s="13"/>
    </row>
    <row r="326" spans="3:12">
      <c r="C326" s="1016">
        <v>11</v>
      </c>
      <c r="D326" s="1009" t="s">
        <v>227</v>
      </c>
      <c r="E326" s="1015">
        <f>49126.438/1000</f>
        <v>49.126438</v>
      </c>
      <c r="F326" s="1014">
        <f>12988.792/1000</f>
        <v>12.988792</v>
      </c>
      <c r="G326" s="1014">
        <f>74.512/1000</f>
        <v>7.4511999999999995E-2</v>
      </c>
      <c r="H326" s="1014">
        <f>2838.037/1000</f>
        <v>2.8380369999999999</v>
      </c>
      <c r="I326" s="1014">
        <f t="shared" si="17"/>
        <v>65.027778999999995</v>
      </c>
      <c r="J326" s="10"/>
      <c r="K326" s="1017">
        <f t="shared" si="18"/>
        <v>605853.41249835992</v>
      </c>
      <c r="L326" s="13"/>
    </row>
    <row r="327" spans="3:12">
      <c r="C327" s="1016">
        <v>12</v>
      </c>
      <c r="D327" s="1009" t="s">
        <v>211</v>
      </c>
      <c r="E327" s="1014">
        <v>49.741413999999999</v>
      </c>
      <c r="F327" s="1014">
        <v>14.034192000000001</v>
      </c>
      <c r="G327" s="1014">
        <v>7.4608000000000008E-2</v>
      </c>
      <c r="H327" s="1014">
        <v>2.9306869999999998</v>
      </c>
      <c r="I327" s="1014">
        <f t="shared" si="17"/>
        <v>66.780901</v>
      </c>
      <c r="J327" s="10"/>
      <c r="K327" s="1017">
        <f t="shared" si="18"/>
        <v>622186.96967283997</v>
      </c>
      <c r="L327" s="13"/>
    </row>
    <row r="328" spans="3:12">
      <c r="C328" s="1016">
        <v>13</v>
      </c>
      <c r="D328" s="1009" t="s">
        <v>184</v>
      </c>
      <c r="E328" s="1015">
        <v>44.646487</v>
      </c>
      <c r="F328" s="1014">
        <v>12.285440999999999</v>
      </c>
      <c r="G328" s="1014">
        <v>6.6186000000000009E-2</v>
      </c>
      <c r="H328" s="1014">
        <v>2.5025140000000001</v>
      </c>
      <c r="I328" s="1014">
        <f t="shared" si="17"/>
        <v>59.500627999999999</v>
      </c>
      <c r="J328" s="10"/>
      <c r="K328" s="1017">
        <f t="shared" si="18"/>
        <v>554357.83097551996</v>
      </c>
      <c r="L328" s="13"/>
    </row>
    <row r="329" spans="3:12">
      <c r="C329" s="593">
        <v>14</v>
      </c>
      <c r="D329" s="596" t="s">
        <v>228</v>
      </c>
      <c r="E329" s="592">
        <v>46.281091000000004</v>
      </c>
      <c r="F329" s="1014">
        <v>13.214246999999999</v>
      </c>
      <c r="G329" s="1014">
        <v>6.9438E-2</v>
      </c>
      <c r="H329" s="1014">
        <v>2.55138</v>
      </c>
      <c r="I329" s="595">
        <f t="shared" si="17"/>
        <v>62.116156000000004</v>
      </c>
      <c r="J329" s="3"/>
      <c r="K329" s="32">
        <f t="shared" si="18"/>
        <v>578726.28686704009</v>
      </c>
    </row>
    <row r="330" spans="3:12">
      <c r="C330" s="593">
        <v>15</v>
      </c>
      <c r="D330" s="596" t="s">
        <v>229</v>
      </c>
      <c r="E330" s="595">
        <v>51.442</v>
      </c>
      <c r="F330" s="1014">
        <v>14.984</v>
      </c>
      <c r="G330" s="1014">
        <v>8.1000000000000003E-2</v>
      </c>
      <c r="H330" s="1014">
        <v>2.8690000000000002</v>
      </c>
      <c r="I330" s="595">
        <f t="shared" si="17"/>
        <v>69.376000000000005</v>
      </c>
      <c r="J330" s="3"/>
      <c r="K330" s="32">
        <f t="shared" si="18"/>
        <v>646365.09184000001</v>
      </c>
    </row>
    <row r="331" spans="3:12">
      <c r="C331" s="593">
        <v>16</v>
      </c>
      <c r="D331" s="596" t="s">
        <v>215</v>
      </c>
      <c r="E331" s="592">
        <v>52.841999999999999</v>
      </c>
      <c r="F331" s="1014">
        <v>16.266999999999999</v>
      </c>
      <c r="G331" s="1014">
        <v>8.2046000000000008E-2</v>
      </c>
      <c r="H331" s="1014">
        <v>2.9644940000000002</v>
      </c>
      <c r="I331" s="595">
        <f t="shared" si="17"/>
        <v>72.155540000000002</v>
      </c>
      <c r="J331" s="3"/>
      <c r="K331" s="32">
        <f t="shared" si="18"/>
        <v>672261.62129360007</v>
      </c>
    </row>
    <row r="332" spans="3:12">
      <c r="C332" s="593">
        <v>17</v>
      </c>
      <c r="D332" s="596" t="s">
        <v>185</v>
      </c>
      <c r="E332" s="592">
        <v>47.969223</v>
      </c>
      <c r="F332" s="1014">
        <v>11.841364000000002</v>
      </c>
      <c r="G332" s="1014">
        <v>6.1932000000000001E-2</v>
      </c>
      <c r="H332" s="1014">
        <v>2.5711870000000001</v>
      </c>
      <c r="I332" s="595">
        <f t="shared" si="17"/>
        <v>62.443705999999999</v>
      </c>
      <c r="J332" s="3"/>
      <c r="K332" s="32">
        <f t="shared" si="18"/>
        <v>581778.01780904003</v>
      </c>
    </row>
    <row r="333" spans="3:12">
      <c r="C333" s="593">
        <v>18</v>
      </c>
      <c r="D333" s="596" t="s">
        <v>217</v>
      </c>
      <c r="E333" s="592">
        <v>50.178643000000001</v>
      </c>
      <c r="F333" s="1014">
        <v>12.958997999999999</v>
      </c>
      <c r="G333" s="1014">
        <v>6.5039999999999987E-2</v>
      </c>
      <c r="H333" s="1014">
        <v>2.6698029999999999</v>
      </c>
      <c r="I333" s="595">
        <f t="shared" si="17"/>
        <v>65.872484</v>
      </c>
      <c r="J333" s="3"/>
      <c r="K333" s="32">
        <f t="shared" si="18"/>
        <v>613723.39383056003</v>
      </c>
    </row>
    <row r="334" spans="3:12">
      <c r="C334" s="593">
        <v>19</v>
      </c>
      <c r="D334" s="596" t="s">
        <v>173</v>
      </c>
      <c r="E334" s="592">
        <v>51.846687999999993</v>
      </c>
      <c r="F334" s="1015">
        <v>12.818520000000001</v>
      </c>
      <c r="G334" s="1015">
        <v>6.2995999999999996E-2</v>
      </c>
      <c r="H334" s="1015">
        <v>2.5335239999999999</v>
      </c>
      <c r="I334" s="595">
        <f t="shared" si="17"/>
        <v>67.261727999999991</v>
      </c>
      <c r="J334" s="3"/>
      <c r="K334" s="32">
        <f t="shared" si="18"/>
        <v>626666.75789951987</v>
      </c>
    </row>
    <row r="335" spans="3:12">
      <c r="C335" s="593">
        <v>20</v>
      </c>
      <c r="D335" s="596" t="s">
        <v>250</v>
      </c>
      <c r="E335" s="592">
        <v>50.413368000000006</v>
      </c>
      <c r="F335" s="1015">
        <v>11.935082</v>
      </c>
      <c r="G335" s="1015">
        <v>6.1876E-2</v>
      </c>
      <c r="H335" s="1015">
        <v>2.4739719999999998</v>
      </c>
      <c r="I335" s="595">
        <f t="shared" si="17"/>
        <v>64.884298000000001</v>
      </c>
      <c r="J335" s="3"/>
      <c r="K335" s="32">
        <f t="shared" si="18"/>
        <v>604516.62297832</v>
      </c>
    </row>
    <row r="336" spans="3:12">
      <c r="C336" s="593">
        <v>21</v>
      </c>
      <c r="D336" s="596" t="s">
        <v>178</v>
      </c>
      <c r="E336" s="595">
        <v>55.813431999999999</v>
      </c>
      <c r="F336" s="1014">
        <v>14.803932000000001</v>
      </c>
      <c r="G336" s="1014">
        <v>5.8150999999999994E-2</v>
      </c>
      <c r="H336" s="1014">
        <v>2.5690330000000006</v>
      </c>
      <c r="I336" s="595">
        <f t="shared" si="17"/>
        <v>73.244547999999995</v>
      </c>
      <c r="J336" s="3"/>
      <c r="K336" s="32">
        <f t="shared" si="18"/>
        <v>682407.73458832002</v>
      </c>
    </row>
    <row r="337" spans="3:11">
      <c r="C337" s="593">
        <v>22</v>
      </c>
      <c r="D337" s="596" t="s">
        <v>183</v>
      </c>
      <c r="E337" s="595">
        <v>60.957751999999999</v>
      </c>
      <c r="F337" s="1014">
        <v>13.36816</v>
      </c>
      <c r="G337" s="1014">
        <v>5.9057000000000005E-2</v>
      </c>
      <c r="H337" s="1014">
        <v>2.6919630000000003</v>
      </c>
      <c r="I337" s="595">
        <f t="shared" si="17"/>
        <v>77.076931999999999</v>
      </c>
      <c r="J337" s="3"/>
      <c r="K337" s="32">
        <f t="shared" si="18"/>
        <v>718113.44313488004</v>
      </c>
    </row>
    <row r="338" spans="3:11">
      <c r="C338" s="593">
        <v>23</v>
      </c>
      <c r="D338" s="596" t="s">
        <v>188</v>
      </c>
      <c r="E338" s="592">
        <v>62.426788000000002</v>
      </c>
      <c r="F338" s="1014">
        <v>17.631148</v>
      </c>
      <c r="G338" s="1014">
        <v>6.7222000000000004E-2</v>
      </c>
      <c r="H338" s="1014">
        <v>3.0083679999999999</v>
      </c>
      <c r="I338" s="595">
        <f t="shared" si="17"/>
        <v>83.133526000000003</v>
      </c>
      <c r="J338" s="3"/>
      <c r="K338" s="32">
        <f t="shared" si="18"/>
        <v>774541.76037784002</v>
      </c>
    </row>
    <row r="339" spans="3:11">
      <c r="C339" s="593">
        <v>24</v>
      </c>
      <c r="D339" s="596" t="s">
        <v>213</v>
      </c>
      <c r="E339" s="592">
        <v>66.109888000000012</v>
      </c>
      <c r="F339" s="1014">
        <v>17.675502000000002</v>
      </c>
      <c r="G339" s="1014">
        <v>6.9954000000000002E-2</v>
      </c>
      <c r="H339" s="1014">
        <v>3.1659960000000003</v>
      </c>
      <c r="I339" s="595">
        <f t="shared" si="17"/>
        <v>87.021340000000009</v>
      </c>
      <c r="J339" s="3"/>
      <c r="K339" s="32">
        <f t="shared" si="18"/>
        <v>810763.90136560006</v>
      </c>
    </row>
    <row r="340" spans="3:11">
      <c r="C340" s="593">
        <v>25</v>
      </c>
      <c r="D340" s="596" t="s">
        <v>209</v>
      </c>
      <c r="E340" s="592">
        <v>73.456547999999998</v>
      </c>
      <c r="F340" s="1015">
        <v>24.850072000000001</v>
      </c>
      <c r="G340" s="1015">
        <v>7.8590000000000007E-2</v>
      </c>
      <c r="H340" s="1015">
        <v>3.5673820000000003</v>
      </c>
      <c r="I340" s="595">
        <f t="shared" si="17"/>
        <v>101.952592</v>
      </c>
      <c r="J340" s="3"/>
      <c r="K340" s="32">
        <f t="shared" si="18"/>
        <v>949875.98724927998</v>
      </c>
    </row>
    <row r="341" spans="3:11">
      <c r="C341" s="593">
        <v>26</v>
      </c>
      <c r="D341" s="596" t="s">
        <v>403</v>
      </c>
      <c r="E341" s="595">
        <v>49.541086</v>
      </c>
      <c r="F341" s="1014">
        <v>18.166779999999999</v>
      </c>
      <c r="G341" s="1014">
        <v>8.7379999999999999E-2</v>
      </c>
      <c r="H341" s="1014">
        <v>2.9930190000000003</v>
      </c>
      <c r="I341" s="595">
        <f t="shared" si="17"/>
        <v>70.788264999999996</v>
      </c>
      <c r="J341" s="3"/>
      <c r="K341" s="32">
        <f t="shared" si="18"/>
        <v>659522.93888259993</v>
      </c>
    </row>
    <row r="342" spans="3:11">
      <c r="C342" s="593">
        <v>27</v>
      </c>
      <c r="D342" s="596" t="s">
        <v>430</v>
      </c>
      <c r="E342" s="592">
        <v>71.12</v>
      </c>
      <c r="F342" s="1015">
        <v>22.268999999999998</v>
      </c>
      <c r="G342" s="1015">
        <v>9.7335999999999978E-2</v>
      </c>
      <c r="H342" s="1015">
        <v>3.393564</v>
      </c>
      <c r="I342" s="595">
        <f t="shared" si="17"/>
        <v>96.879900000000006</v>
      </c>
      <c r="J342" s="3"/>
      <c r="K342" s="32">
        <f t="shared" si="18"/>
        <v>902614.52751600009</v>
      </c>
    </row>
    <row r="343" spans="3:11">
      <c r="C343" s="593">
        <v>28</v>
      </c>
      <c r="D343" s="596" t="s">
        <v>186</v>
      </c>
      <c r="E343" s="595">
        <v>84.601611999999989</v>
      </c>
      <c r="F343" s="1014">
        <v>36.043199999999999</v>
      </c>
      <c r="G343" s="1014">
        <v>0.10176600000000001</v>
      </c>
      <c r="H343" s="1014">
        <v>4.2033740000000002</v>
      </c>
      <c r="I343" s="595">
        <f t="shared" si="17"/>
        <v>124.94995199999998</v>
      </c>
      <c r="J343" s="3"/>
      <c r="K343" s="32">
        <f t="shared" si="18"/>
        <v>1164138.7107916798</v>
      </c>
    </row>
    <row r="344" spans="3:11">
      <c r="C344" s="593">
        <v>29</v>
      </c>
      <c r="D344" s="596" t="s">
        <v>218</v>
      </c>
      <c r="E344" s="595">
        <v>90.602580000000003</v>
      </c>
      <c r="F344" s="1014">
        <v>41.945982000000001</v>
      </c>
      <c r="G344" s="1014">
        <v>0.10993</v>
      </c>
      <c r="H344" s="1014">
        <v>4.3876200000000001</v>
      </c>
      <c r="I344" s="595">
        <f t="shared" si="17"/>
        <v>137.04611199999999</v>
      </c>
      <c r="J344" s="3"/>
      <c r="K344" s="32">
        <f t="shared" si="18"/>
        <v>1276836.69812608</v>
      </c>
    </row>
    <row r="345" spans="3:11">
      <c r="C345" s="593">
        <v>30</v>
      </c>
      <c r="D345" s="596" t="s">
        <v>431</v>
      </c>
      <c r="E345" s="595">
        <v>130.96920800000001</v>
      </c>
      <c r="F345" s="1014">
        <v>37.303660000000001</v>
      </c>
      <c r="G345" s="1014">
        <v>0.10993</v>
      </c>
      <c r="H345" s="1014">
        <v>5.1781139999999999</v>
      </c>
      <c r="I345" s="595">
        <f t="shared" si="17"/>
        <v>173.560912</v>
      </c>
      <c r="J345" s="3"/>
      <c r="K345" s="32">
        <f t="shared" si="18"/>
        <v>1617039.24735808</v>
      </c>
    </row>
    <row r="346" spans="3:11" ht="15" thickBot="1">
      <c r="C346" s="30">
        <v>31</v>
      </c>
      <c r="D346" s="1011" t="s">
        <v>1462</v>
      </c>
      <c r="E346" s="1012">
        <v>59.533379999999994</v>
      </c>
      <c r="F346" s="1013">
        <v>19.751999000000001</v>
      </c>
      <c r="G346" s="1013">
        <v>0.11</v>
      </c>
      <c r="H346" s="1013">
        <v>2.8679999999999999</v>
      </c>
      <c r="I346" s="608">
        <f t="shared" si="17"/>
        <v>82.263378999999986</v>
      </c>
      <c r="J346" s="31"/>
      <c r="K346" s="33">
        <f t="shared" si="18"/>
        <v>766434.74000235985</v>
      </c>
    </row>
    <row r="347" spans="3:11">
      <c r="D347" s="755"/>
    </row>
    <row r="348" spans="3:11">
      <c r="D348" s="755"/>
    </row>
    <row r="349" spans="3:11">
      <c r="D349" s="755"/>
    </row>
    <row r="350" spans="3:11">
      <c r="D350" s="755"/>
    </row>
    <row r="351" spans="3:11">
      <c r="D351" s="755"/>
    </row>
    <row r="352" spans="3:11">
      <c r="D352" s="755"/>
    </row>
    <row r="353" spans="4:4">
      <c r="D353" s="755"/>
    </row>
    <row r="354" spans="4:4">
      <c r="D354" s="755"/>
    </row>
    <row r="355" spans="4:4">
      <c r="D355" s="755"/>
    </row>
    <row r="356" spans="4:4">
      <c r="D356" s="755"/>
    </row>
    <row r="357" spans="4:4">
      <c r="D357" s="755"/>
    </row>
    <row r="358" spans="4:4">
      <c r="D358" s="755"/>
    </row>
    <row r="359" spans="4:4">
      <c r="D359" s="755"/>
    </row>
    <row r="360" spans="4:4">
      <c r="D360" s="755"/>
    </row>
    <row r="361" spans="4:4">
      <c r="D361" s="755"/>
    </row>
    <row r="362" spans="4:4">
      <c r="D362" s="755"/>
    </row>
    <row r="363" spans="4:4">
      <c r="D363" s="755"/>
    </row>
    <row r="364" spans="4:4">
      <c r="D364" s="755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1" priority="1558"/>
  </conditionalFormatting>
  <conditionalFormatting sqref="C313:C1048576 C1:C308">
    <cfRule type="duplicateValues" dxfId="200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9" customWidth="1"/>
    <col min="12" max="12" width="8.1796875" style="2" customWidth="1"/>
    <col min="13" max="13" width="7.1796875" style="200" customWidth="1"/>
    <col min="14" max="14" width="7.1796875" style="199" customWidth="1"/>
    <col min="15" max="15" width="8.453125" style="2" bestFit="1" customWidth="1"/>
    <col min="16" max="16" width="8.26953125" style="200" customWidth="1"/>
    <col min="17" max="17" width="7.1796875" style="199" customWidth="1"/>
    <col min="18" max="18" width="7.1796875" style="2" customWidth="1"/>
    <col min="19" max="19" width="7.1796875" style="200" customWidth="1"/>
    <col min="20" max="20" width="7.1796875" style="199" customWidth="1"/>
    <col min="21" max="21" width="7.1796875" style="2" customWidth="1"/>
    <col min="22" max="22" width="7.1796875" style="200" customWidth="1"/>
    <col min="23" max="23" width="7.1796875" style="199" customWidth="1"/>
    <col min="24" max="24" width="8.1796875" style="2" customWidth="1"/>
    <col min="25" max="25" width="7.1796875" style="200" customWidth="1"/>
    <col min="26" max="26" width="7.1796875" style="199" customWidth="1"/>
    <col min="27" max="27" width="7.1796875" style="2" customWidth="1"/>
    <col min="28" max="28" width="8.7265625" style="200" customWidth="1"/>
    <col min="29" max="29" width="7.1796875" style="199" customWidth="1"/>
    <col min="30" max="30" width="7.1796875" style="2" customWidth="1"/>
    <col min="31" max="31" width="7.1796875" style="200" customWidth="1"/>
    <col min="32" max="16384" width="8.7265625" style="2"/>
  </cols>
  <sheetData>
    <row r="1" spans="1:31">
      <c r="A1" s="196" t="s">
        <v>803</v>
      </c>
      <c r="K1" s="111"/>
      <c r="L1" s="197"/>
      <c r="M1" s="198"/>
      <c r="N1" s="111"/>
      <c r="O1" s="197"/>
      <c r="P1" s="198"/>
      <c r="Q1" s="111"/>
      <c r="R1" s="197"/>
      <c r="S1" s="198"/>
      <c r="T1" s="111"/>
      <c r="U1" s="197"/>
      <c r="V1" s="198"/>
      <c r="W1" s="111"/>
      <c r="X1" s="197"/>
      <c r="Y1" s="198"/>
      <c r="Z1" s="111"/>
      <c r="AA1" s="197"/>
      <c r="AB1" s="198"/>
      <c r="AC1" s="111"/>
      <c r="AD1" s="197"/>
      <c r="AE1" s="198"/>
    </row>
    <row r="2" spans="1:31">
      <c r="A2" s="196" t="s">
        <v>804</v>
      </c>
    </row>
    <row r="3" spans="1:31">
      <c r="A3" s="196" t="s">
        <v>805</v>
      </c>
      <c r="D3" s="201"/>
      <c r="E3" s="588" t="s">
        <v>806</v>
      </c>
      <c r="F3" s="589" t="str">
        <f>TA413_PBNTL!M1</f>
        <v>26.06.2026</v>
      </c>
      <c r="G3" s="201"/>
      <c r="H3" s="201"/>
      <c r="I3" s="201"/>
    </row>
    <row r="4" spans="1:31">
      <c r="A4" s="1579" t="s">
        <v>376</v>
      </c>
      <c r="B4" s="1579" t="s">
        <v>807</v>
      </c>
      <c r="C4" s="1580" t="s">
        <v>274</v>
      </c>
      <c r="D4" s="1579" t="s">
        <v>310</v>
      </c>
      <c r="E4" s="1579" t="s">
        <v>808</v>
      </c>
      <c r="F4" s="1579" t="s">
        <v>809</v>
      </c>
      <c r="G4" s="69" t="s">
        <v>846</v>
      </c>
      <c r="H4" s="1576" t="s">
        <v>810</v>
      </c>
      <c r="I4" s="1579" t="s">
        <v>0</v>
      </c>
      <c r="J4" s="202">
        <v>0</v>
      </c>
      <c r="K4" s="203">
        <f>J4+1</f>
        <v>1</v>
      </c>
      <c r="L4" s="69">
        <f t="shared" ref="L4:AE4" si="0">K4+1</f>
        <v>2</v>
      </c>
      <c r="M4" s="204">
        <f t="shared" si="0"/>
        <v>3</v>
      </c>
      <c r="N4" s="203">
        <f t="shared" si="0"/>
        <v>4</v>
      </c>
      <c r="O4" s="69">
        <f t="shared" si="0"/>
        <v>5</v>
      </c>
      <c r="P4" s="204">
        <f t="shared" si="0"/>
        <v>6</v>
      </c>
      <c r="Q4" s="203">
        <f t="shared" si="0"/>
        <v>7</v>
      </c>
      <c r="R4" s="69">
        <f t="shared" si="0"/>
        <v>8</v>
      </c>
      <c r="S4" s="204">
        <f t="shared" si="0"/>
        <v>9</v>
      </c>
      <c r="T4" s="203">
        <f t="shared" si="0"/>
        <v>10</v>
      </c>
      <c r="U4" s="69">
        <f t="shared" si="0"/>
        <v>11</v>
      </c>
      <c r="V4" s="204">
        <f t="shared" si="0"/>
        <v>12</v>
      </c>
      <c r="W4" s="203">
        <f t="shared" si="0"/>
        <v>13</v>
      </c>
      <c r="X4" s="69">
        <f t="shared" si="0"/>
        <v>14</v>
      </c>
      <c r="Y4" s="204">
        <f t="shared" si="0"/>
        <v>15</v>
      </c>
      <c r="Z4" s="203">
        <f t="shared" si="0"/>
        <v>16</v>
      </c>
      <c r="AA4" s="69">
        <f t="shared" si="0"/>
        <v>17</v>
      </c>
      <c r="AB4" s="204">
        <f t="shared" si="0"/>
        <v>18</v>
      </c>
      <c r="AC4" s="203">
        <f t="shared" si="0"/>
        <v>19</v>
      </c>
      <c r="AD4" s="69">
        <f t="shared" si="0"/>
        <v>20</v>
      </c>
      <c r="AE4" s="204">
        <f t="shared" si="0"/>
        <v>21</v>
      </c>
    </row>
    <row r="5" spans="1:31">
      <c r="A5" s="1579"/>
      <c r="B5" s="1579"/>
      <c r="C5" s="1580"/>
      <c r="D5" s="1579"/>
      <c r="E5" s="1579"/>
      <c r="F5" s="1579"/>
      <c r="G5" s="69" t="s">
        <v>847</v>
      </c>
      <c r="H5" s="1576"/>
      <c r="I5" s="1579"/>
      <c r="J5" s="205">
        <v>45352</v>
      </c>
      <c r="K5" s="206">
        <v>45383</v>
      </c>
      <c r="L5" s="120">
        <v>45413</v>
      </c>
      <c r="M5" s="207">
        <v>45444</v>
      </c>
      <c r="N5" s="206">
        <v>45474</v>
      </c>
      <c r="O5" s="120">
        <v>45505</v>
      </c>
      <c r="P5" s="207">
        <v>45536</v>
      </c>
      <c r="Q5" s="206">
        <v>45566</v>
      </c>
      <c r="R5" s="120">
        <v>45597</v>
      </c>
      <c r="S5" s="207">
        <v>45627</v>
      </c>
      <c r="T5" s="206">
        <v>45658</v>
      </c>
      <c r="U5" s="120">
        <v>45689</v>
      </c>
      <c r="V5" s="207">
        <v>45717</v>
      </c>
      <c r="W5" s="206">
        <v>45748</v>
      </c>
      <c r="X5" s="120">
        <v>45778</v>
      </c>
      <c r="Y5" s="207">
        <v>45809</v>
      </c>
      <c r="Z5" s="206">
        <v>45839</v>
      </c>
      <c r="AA5" s="120">
        <v>45870</v>
      </c>
      <c r="AB5" s="207">
        <v>45901</v>
      </c>
      <c r="AC5" s="206">
        <v>45931</v>
      </c>
      <c r="AD5" s="120">
        <v>45962</v>
      </c>
      <c r="AE5" s="207">
        <v>45992</v>
      </c>
    </row>
    <row r="6" spans="1:31">
      <c r="A6" s="208"/>
      <c r="B6" s="209" t="s">
        <v>811</v>
      </c>
      <c r="C6" s="208"/>
      <c r="D6" s="208"/>
      <c r="E6" s="208"/>
      <c r="F6" s="208"/>
      <c r="G6" s="250"/>
      <c r="H6" s="250"/>
      <c r="I6" s="250"/>
      <c r="J6" s="210"/>
      <c r="K6" s="211"/>
      <c r="L6" s="212"/>
      <c r="M6" s="213"/>
      <c r="N6" s="211"/>
      <c r="O6" s="212"/>
      <c r="P6" s="213"/>
      <c r="Q6" s="211"/>
      <c r="R6" s="212"/>
      <c r="S6" s="213"/>
      <c r="T6" s="211"/>
      <c r="U6" s="212"/>
      <c r="V6" s="213"/>
      <c r="W6" s="211"/>
      <c r="X6" s="212"/>
      <c r="Y6" s="213"/>
      <c r="Z6" s="211"/>
      <c r="AA6" s="212"/>
      <c r="AB6" s="213"/>
      <c r="AC6" s="211"/>
      <c r="AD6" s="212"/>
      <c r="AE6" s="213"/>
    </row>
    <row r="7" spans="1:31" ht="20.149999999999999" customHeight="1">
      <c r="A7" s="3">
        <v>1</v>
      </c>
      <c r="B7" s="72" t="s">
        <v>812</v>
      </c>
      <c r="C7" s="3" t="s">
        <v>813</v>
      </c>
      <c r="D7" s="3">
        <v>100</v>
      </c>
      <c r="E7" s="214">
        <v>45371</v>
      </c>
      <c r="F7" s="214">
        <v>45738</v>
      </c>
      <c r="G7" s="121"/>
      <c r="H7" s="121"/>
      <c r="I7" s="121"/>
      <c r="J7" s="215"/>
      <c r="K7" s="216"/>
      <c r="L7" s="217"/>
      <c r="M7" s="218"/>
      <c r="N7" s="216"/>
      <c r="O7" s="217"/>
      <c r="P7" s="218"/>
      <c r="Q7" s="216"/>
      <c r="R7" s="217"/>
      <c r="S7" s="218"/>
      <c r="T7" s="216"/>
      <c r="U7" s="217"/>
      <c r="V7" s="218"/>
      <c r="W7" s="216"/>
      <c r="X7" s="217"/>
      <c r="Y7" s="218"/>
      <c r="Z7" s="216"/>
      <c r="AA7" s="217"/>
      <c r="AB7" s="218"/>
      <c r="AC7" s="216"/>
      <c r="AD7" s="217"/>
      <c r="AE7" s="218"/>
    </row>
    <row r="8" spans="1:31" ht="20.149999999999999" customHeight="1">
      <c r="A8" s="3" t="s">
        <v>491</v>
      </c>
      <c r="B8" s="72" t="s">
        <v>814</v>
      </c>
      <c r="C8" s="3" t="s">
        <v>813</v>
      </c>
      <c r="D8" s="3">
        <v>100</v>
      </c>
      <c r="E8" s="214">
        <v>45371</v>
      </c>
      <c r="F8" s="214">
        <v>45406</v>
      </c>
      <c r="G8" s="121"/>
      <c r="H8" s="121"/>
      <c r="I8" s="121"/>
      <c r="J8" s="215"/>
      <c r="K8" s="216"/>
      <c r="L8" s="217"/>
      <c r="M8" s="218"/>
      <c r="N8" s="216"/>
      <c r="O8" s="217"/>
      <c r="P8" s="218"/>
      <c r="Q8" s="216"/>
      <c r="R8" s="217"/>
      <c r="S8" s="218"/>
      <c r="T8" s="216"/>
      <c r="U8" s="217"/>
      <c r="V8" s="218"/>
      <c r="W8" s="216"/>
      <c r="X8" s="217"/>
      <c r="Y8" s="218"/>
      <c r="Z8" s="216"/>
      <c r="AA8" s="217"/>
      <c r="AB8" s="218"/>
      <c r="AC8" s="216"/>
      <c r="AD8" s="217"/>
      <c r="AE8" s="218"/>
    </row>
    <row r="9" spans="1:31" ht="20.149999999999999" customHeight="1">
      <c r="A9" s="3" t="s">
        <v>501</v>
      </c>
      <c r="B9" s="72" t="s">
        <v>815</v>
      </c>
      <c r="C9" s="3" t="s">
        <v>813</v>
      </c>
      <c r="D9" s="3">
        <v>100</v>
      </c>
      <c r="E9" s="214">
        <v>45383</v>
      </c>
      <c r="F9" s="214">
        <v>45411</v>
      </c>
      <c r="G9" s="121"/>
      <c r="H9" s="121"/>
      <c r="I9" s="121"/>
      <c r="J9" s="215"/>
      <c r="K9" s="216">
        <v>1</v>
      </c>
      <c r="L9" s="217"/>
      <c r="M9" s="218"/>
      <c r="N9" s="216"/>
      <c r="O9" s="217"/>
      <c r="P9" s="218"/>
      <c r="Q9" s="216"/>
      <c r="R9" s="217"/>
      <c r="S9" s="218"/>
      <c r="T9" s="216"/>
      <c r="U9" s="217"/>
      <c r="V9" s="218"/>
      <c r="W9" s="216"/>
      <c r="X9" s="217"/>
      <c r="Y9" s="218"/>
      <c r="Z9" s="216"/>
      <c r="AA9" s="217"/>
      <c r="AB9" s="218"/>
      <c r="AC9" s="216"/>
      <c r="AD9" s="217"/>
      <c r="AE9" s="218"/>
    </row>
    <row r="10" spans="1:31" ht="20.149999999999999" customHeight="1">
      <c r="A10" s="3" t="s">
        <v>502</v>
      </c>
      <c r="B10" s="72" t="s">
        <v>816</v>
      </c>
      <c r="C10" s="3" t="s">
        <v>127</v>
      </c>
      <c r="D10" s="3">
        <v>287</v>
      </c>
      <c r="E10" s="214">
        <v>45400</v>
      </c>
      <c r="F10" s="214">
        <v>45616</v>
      </c>
      <c r="G10" s="121">
        <f>SUM(K10:V10)</f>
        <v>287</v>
      </c>
      <c r="H10" s="587"/>
      <c r="I10" s="121"/>
      <c r="J10" s="220"/>
      <c r="K10" s="221">
        <v>25</v>
      </c>
      <c r="L10" s="222">
        <v>50</v>
      </c>
      <c r="M10" s="223">
        <v>50</v>
      </c>
      <c r="N10" s="221">
        <v>50</v>
      </c>
      <c r="O10" s="222"/>
      <c r="P10" s="223">
        <v>80</v>
      </c>
      <c r="Q10" s="221"/>
      <c r="R10" s="222">
        <v>32</v>
      </c>
      <c r="S10" s="223"/>
      <c r="T10" s="221"/>
      <c r="U10" s="222"/>
      <c r="V10" s="223"/>
      <c r="W10" s="221"/>
      <c r="X10" s="222"/>
      <c r="Y10" s="223"/>
      <c r="Z10" s="221"/>
      <c r="AA10" s="222"/>
      <c r="AB10" s="223"/>
      <c r="AC10" s="221"/>
      <c r="AD10" s="222"/>
      <c r="AE10" s="223"/>
    </row>
    <row r="11" spans="1:31" s="227" customFormat="1" ht="20.149999999999999" customHeight="1">
      <c r="A11" s="224"/>
      <c r="B11" s="225" t="s">
        <v>817</v>
      </c>
      <c r="C11" s="226"/>
      <c r="D11" s="226"/>
      <c r="E11" s="228"/>
      <c r="F11" s="228"/>
      <c r="G11" s="226"/>
      <c r="H11" s="251">
        <v>313</v>
      </c>
      <c r="I11" s="252">
        <f>D10-H11</f>
        <v>-26</v>
      </c>
      <c r="J11" s="230"/>
      <c r="K11" s="231">
        <v>0</v>
      </c>
      <c r="L11" s="232">
        <v>5</v>
      </c>
      <c r="M11" s="233">
        <f>105+25</f>
        <v>130</v>
      </c>
      <c r="N11" s="231">
        <v>10</v>
      </c>
      <c r="O11" s="232"/>
      <c r="P11" s="233">
        <v>40</v>
      </c>
      <c r="Q11" s="231">
        <v>16</v>
      </c>
      <c r="R11" s="232"/>
      <c r="S11" s="233">
        <v>44</v>
      </c>
      <c r="T11" s="231">
        <v>34</v>
      </c>
      <c r="U11" s="232"/>
      <c r="V11" s="233"/>
      <c r="W11" s="231"/>
      <c r="X11" s="232"/>
      <c r="Y11" s="233"/>
      <c r="Z11" s="231"/>
      <c r="AA11" s="232"/>
      <c r="AB11" s="233"/>
      <c r="AC11" s="231"/>
      <c r="AD11" s="232"/>
      <c r="AE11" s="233"/>
    </row>
    <row r="12" spans="1:31" s="227" customFormat="1" ht="20.149999999999999" customHeight="1">
      <c r="A12" s="224"/>
      <c r="B12" s="225" t="s">
        <v>818</v>
      </c>
      <c r="C12" s="226"/>
      <c r="D12" s="226"/>
      <c r="E12" s="228"/>
      <c r="F12" s="228"/>
      <c r="G12" s="226"/>
      <c r="H12" s="251">
        <v>309</v>
      </c>
      <c r="I12" s="252">
        <f>D10-H12</f>
        <v>-22</v>
      </c>
      <c r="J12" s="230"/>
      <c r="K12" s="231"/>
      <c r="L12" s="232">
        <v>107</v>
      </c>
      <c r="M12" s="233">
        <v>13</v>
      </c>
      <c r="N12" s="231">
        <v>10</v>
      </c>
      <c r="O12" s="232">
        <v>45</v>
      </c>
      <c r="P12" s="233"/>
      <c r="Q12" s="231"/>
      <c r="R12" s="232">
        <v>25</v>
      </c>
      <c r="S12" s="233"/>
      <c r="T12" s="231">
        <v>79</v>
      </c>
      <c r="U12" s="232"/>
      <c r="V12" s="233"/>
      <c r="W12" s="231"/>
      <c r="X12" s="232"/>
      <c r="Y12" s="233"/>
      <c r="Z12" s="231"/>
      <c r="AA12" s="232"/>
      <c r="AB12" s="233"/>
      <c r="AC12" s="231"/>
      <c r="AD12" s="232"/>
      <c r="AE12" s="233"/>
    </row>
    <row r="13" spans="1:31" ht="20.149999999999999" customHeight="1">
      <c r="A13" s="219" t="s">
        <v>819</v>
      </c>
      <c r="B13" s="72" t="s">
        <v>820</v>
      </c>
      <c r="C13" s="3" t="s">
        <v>127</v>
      </c>
      <c r="D13" s="3">
        <v>287</v>
      </c>
      <c r="E13" s="214">
        <v>45434</v>
      </c>
      <c r="F13" s="214">
        <v>45708</v>
      </c>
      <c r="G13" s="121">
        <f>SUM(K13:V13)</f>
        <v>287</v>
      </c>
      <c r="H13" s="121"/>
      <c r="I13" s="121">
        <f>G13-H15</f>
        <v>-5</v>
      </c>
      <c r="J13" s="220"/>
      <c r="K13" s="221"/>
      <c r="L13" s="222">
        <v>40</v>
      </c>
      <c r="M13" s="223">
        <v>40</v>
      </c>
      <c r="N13" s="221"/>
      <c r="O13" s="222">
        <v>40</v>
      </c>
      <c r="P13" s="223">
        <v>30</v>
      </c>
      <c r="Q13" s="221">
        <v>30</v>
      </c>
      <c r="R13" s="222"/>
      <c r="S13" s="223">
        <v>70</v>
      </c>
      <c r="T13" s="221"/>
      <c r="U13" s="222">
        <v>37</v>
      </c>
      <c r="V13" s="223"/>
      <c r="W13" s="221"/>
      <c r="X13" s="222"/>
      <c r="Y13" s="223"/>
      <c r="Z13" s="221"/>
      <c r="AA13" s="222"/>
      <c r="AB13" s="223"/>
      <c r="AC13" s="221"/>
      <c r="AD13" s="222"/>
      <c r="AE13" s="223"/>
    </row>
    <row r="14" spans="1:31" ht="20.149999999999999" customHeight="1">
      <c r="A14" s="219"/>
      <c r="B14" s="72"/>
      <c r="C14" s="81"/>
      <c r="D14" s="122">
        <v>13873.344999999999</v>
      </c>
      <c r="E14" s="214"/>
      <c r="F14" s="214"/>
      <c r="G14" s="121">
        <f>SUM(K14:V14)</f>
        <v>13873.58</v>
      </c>
      <c r="H14" s="121"/>
      <c r="I14" s="597">
        <f>G14-H16</f>
        <v>898.57999999999993</v>
      </c>
      <c r="J14" s="220"/>
      <c r="K14" s="221"/>
      <c r="L14" s="222">
        <f>L13*48.34</f>
        <v>1933.6000000000001</v>
      </c>
      <c r="M14" s="222">
        <f>M13*48.34</f>
        <v>1933.6000000000001</v>
      </c>
      <c r="N14" s="221"/>
      <c r="O14" s="222">
        <f>O13*48.34</f>
        <v>1933.6000000000001</v>
      </c>
      <c r="P14" s="222">
        <f>P13*48.34</f>
        <v>1450.2</v>
      </c>
      <c r="Q14" s="529">
        <f>Q13*48.34</f>
        <v>1450.2</v>
      </c>
      <c r="R14" s="222"/>
      <c r="S14" s="222">
        <f>S13*48.34</f>
        <v>3383.8</v>
      </c>
      <c r="T14" s="221"/>
      <c r="U14" s="222">
        <f>U13*48.34</f>
        <v>1788.5800000000002</v>
      </c>
      <c r="V14" s="223"/>
      <c r="W14" s="221"/>
      <c r="X14" s="222"/>
      <c r="Y14" s="223"/>
      <c r="Z14" s="221"/>
      <c r="AA14" s="222"/>
      <c r="AB14" s="223"/>
      <c r="AC14" s="221"/>
      <c r="AD14" s="222"/>
      <c r="AE14" s="223"/>
    </row>
    <row r="15" spans="1:31" s="227" customFormat="1" ht="20.149999999999999" customHeight="1">
      <c r="A15" s="224"/>
      <c r="B15" s="225" t="s">
        <v>881</v>
      </c>
      <c r="C15" s="226" t="s">
        <v>127</v>
      </c>
      <c r="D15" s="229"/>
      <c r="E15" s="228"/>
      <c r="F15" s="228"/>
      <c r="G15" s="226"/>
      <c r="H15" s="251">
        <v>292</v>
      </c>
      <c r="I15" s="252">
        <f>D13-H15</f>
        <v>-5</v>
      </c>
      <c r="J15" s="230"/>
      <c r="K15" s="231"/>
      <c r="L15" s="232"/>
      <c r="M15" s="233"/>
      <c r="N15" s="231">
        <v>40</v>
      </c>
      <c r="O15" s="232">
        <v>80</v>
      </c>
      <c r="P15" s="233">
        <f>15+10+20</f>
        <v>45</v>
      </c>
      <c r="Q15" s="231">
        <v>21</v>
      </c>
      <c r="R15" s="232">
        <v>16</v>
      </c>
      <c r="S15" s="233">
        <v>21</v>
      </c>
      <c r="T15" s="231">
        <v>8</v>
      </c>
      <c r="U15" s="232">
        <v>2</v>
      </c>
      <c r="V15" s="233"/>
      <c r="W15" s="231"/>
      <c r="X15" s="232"/>
      <c r="Y15" s="233"/>
      <c r="Z15" s="231"/>
      <c r="AA15" s="232"/>
      <c r="AB15" s="233"/>
      <c r="AC15" s="231"/>
      <c r="AD15" s="232"/>
      <c r="AE15" s="233"/>
    </row>
    <row r="16" spans="1:31" s="227" customFormat="1" ht="20.149999999999999" customHeight="1">
      <c r="A16" s="224"/>
      <c r="B16" s="225" t="s">
        <v>881</v>
      </c>
      <c r="C16" s="226" t="s">
        <v>822</v>
      </c>
      <c r="D16" s="241"/>
      <c r="E16" s="228"/>
      <c r="F16" s="226"/>
      <c r="G16" s="226"/>
      <c r="H16" s="1027">
        <v>12975</v>
      </c>
      <c r="I16" s="253">
        <f>D14-H16</f>
        <v>898.34499999999935</v>
      </c>
      <c r="J16" s="230"/>
      <c r="K16" s="231"/>
      <c r="L16" s="232">
        <v>234.63800000000001</v>
      </c>
      <c r="M16" s="232">
        <f>396.581+1110.769</f>
        <v>1507.35</v>
      </c>
      <c r="N16" s="231">
        <v>1340.1590000000001</v>
      </c>
      <c r="O16" s="232">
        <v>1578.296</v>
      </c>
      <c r="P16" s="233">
        <v>1417.3520000000001</v>
      </c>
      <c r="Q16" s="231">
        <f>28.513*20</f>
        <v>570.26</v>
      </c>
      <c r="R16" s="232">
        <v>615.53099999999995</v>
      </c>
      <c r="S16" s="233">
        <v>1100</v>
      </c>
      <c r="T16" s="231">
        <v>1231.414</v>
      </c>
      <c r="U16" s="232"/>
      <c r="V16" s="233"/>
      <c r="W16" s="231"/>
      <c r="X16" s="232"/>
      <c r="Y16" s="233"/>
      <c r="Z16" s="231"/>
      <c r="AA16" s="232"/>
      <c r="AB16" s="233"/>
      <c r="AC16" s="231"/>
      <c r="AD16" s="232"/>
      <c r="AE16" s="233"/>
    </row>
    <row r="17" spans="1:31" ht="20.149999999999999" customHeight="1">
      <c r="A17" s="219" t="s">
        <v>823</v>
      </c>
      <c r="B17" s="72" t="s">
        <v>824</v>
      </c>
      <c r="C17" s="3" t="s">
        <v>127</v>
      </c>
      <c r="D17" s="3">
        <v>10480</v>
      </c>
      <c r="E17" s="214">
        <v>45482</v>
      </c>
      <c r="F17" s="214">
        <v>45646</v>
      </c>
      <c r="G17" s="121">
        <f>SUM(K17:S17)</f>
        <v>10480</v>
      </c>
      <c r="H17" s="121"/>
      <c r="I17" s="121">
        <f>G17-H18</f>
        <v>580</v>
      </c>
      <c r="J17" s="220"/>
      <c r="K17" s="221"/>
      <c r="L17" s="222"/>
      <c r="M17" s="223"/>
      <c r="N17" s="221">
        <v>4192</v>
      </c>
      <c r="O17" s="222"/>
      <c r="P17" s="223"/>
      <c r="Q17" s="221">
        <v>3144</v>
      </c>
      <c r="R17" s="222"/>
      <c r="S17" s="223">
        <v>3144</v>
      </c>
      <c r="T17" s="221"/>
      <c r="U17" s="222"/>
      <c r="V17" s="223"/>
      <c r="W17" s="221"/>
      <c r="X17" s="222"/>
      <c r="Y17" s="223"/>
      <c r="Z17" s="221"/>
      <c r="AA17" s="222"/>
      <c r="AB17" s="223"/>
      <c r="AC17" s="221"/>
      <c r="AD17" s="222"/>
      <c r="AE17" s="223"/>
    </row>
    <row r="18" spans="1:31" s="227" customFormat="1" ht="20.149999999999999" customHeight="1">
      <c r="A18" s="224"/>
      <c r="B18" s="225" t="s">
        <v>821</v>
      </c>
      <c r="C18" s="226"/>
      <c r="D18" s="229"/>
      <c r="E18" s="228"/>
      <c r="F18" s="228"/>
      <c r="G18" s="226"/>
      <c r="H18" s="251">
        <v>9900</v>
      </c>
      <c r="I18" s="252">
        <f>D17-H18</f>
        <v>580</v>
      </c>
      <c r="J18" s="230"/>
      <c r="K18" s="231"/>
      <c r="L18" s="232"/>
      <c r="M18" s="233"/>
      <c r="N18" s="231">
        <v>4192</v>
      </c>
      <c r="O18" s="232"/>
      <c r="P18" s="233"/>
      <c r="Q18" s="231"/>
      <c r="R18" s="232"/>
      <c r="S18" s="233"/>
      <c r="T18" s="231"/>
      <c r="U18" s="232"/>
      <c r="V18" s="233"/>
      <c r="W18" s="231"/>
      <c r="X18" s="232"/>
      <c r="Y18" s="233"/>
      <c r="Z18" s="231"/>
      <c r="AA18" s="232"/>
      <c r="AB18" s="233"/>
      <c r="AC18" s="231"/>
      <c r="AD18" s="232"/>
      <c r="AE18" s="233"/>
    </row>
    <row r="19" spans="1:31" ht="29">
      <c r="A19" s="219" t="s">
        <v>825</v>
      </c>
      <c r="B19" s="61" t="s">
        <v>826</v>
      </c>
      <c r="C19" s="3" t="s">
        <v>813</v>
      </c>
      <c r="D19" s="3">
        <v>100</v>
      </c>
      <c r="E19" s="214">
        <v>45482</v>
      </c>
      <c r="F19" s="214">
        <v>45646</v>
      </c>
      <c r="G19" s="266">
        <f>SUM(K19:T19)</f>
        <v>1</v>
      </c>
      <c r="H19" s="121"/>
      <c r="I19" s="266">
        <f>G19-H20</f>
        <v>1</v>
      </c>
      <c r="J19" s="215"/>
      <c r="K19" s="216"/>
      <c r="L19" s="217"/>
      <c r="M19" s="218"/>
      <c r="N19" s="216">
        <v>0.4</v>
      </c>
      <c r="O19" s="217"/>
      <c r="P19" s="218"/>
      <c r="Q19" s="216">
        <v>0.3</v>
      </c>
      <c r="R19" s="217"/>
      <c r="S19" s="218">
        <v>0.3</v>
      </c>
      <c r="T19" s="216"/>
      <c r="U19" s="217"/>
      <c r="V19" s="218"/>
      <c r="W19" s="216"/>
      <c r="X19" s="217"/>
      <c r="Y19" s="218"/>
      <c r="Z19" s="216"/>
      <c r="AA19" s="217"/>
      <c r="AB19" s="218"/>
      <c r="AC19" s="216"/>
      <c r="AD19" s="217"/>
      <c r="AE19" s="218"/>
    </row>
    <row r="20" spans="1:31" s="227" customFormat="1" ht="25" customHeight="1">
      <c r="A20" s="224"/>
      <c r="B20" s="225" t="s">
        <v>821</v>
      </c>
      <c r="C20" s="226"/>
      <c r="D20" s="229"/>
      <c r="E20" s="228"/>
      <c r="F20" s="228"/>
      <c r="G20" s="226"/>
      <c r="H20" s="251">
        <f>SUM(J20:AE20)</f>
        <v>0</v>
      </c>
      <c r="I20" s="252">
        <f>D19-H20</f>
        <v>100</v>
      </c>
      <c r="J20" s="234"/>
      <c r="K20" s="235"/>
      <c r="L20" s="236"/>
      <c r="M20" s="237"/>
      <c r="N20" s="235"/>
      <c r="O20" s="236"/>
      <c r="P20" s="237"/>
      <c r="Q20" s="235"/>
      <c r="R20" s="236"/>
      <c r="S20" s="237"/>
      <c r="T20" s="235"/>
      <c r="U20" s="236"/>
      <c r="V20" s="237"/>
      <c r="W20" s="235"/>
      <c r="X20" s="236"/>
      <c r="Y20" s="237"/>
      <c r="Z20" s="235"/>
      <c r="AA20" s="236"/>
      <c r="AB20" s="237"/>
      <c r="AC20" s="235"/>
      <c r="AD20" s="236"/>
      <c r="AE20" s="237"/>
    </row>
    <row r="21" spans="1:31" ht="20.149999999999999" customHeight="1">
      <c r="A21" s="219" t="s">
        <v>827</v>
      </c>
      <c r="B21" s="72" t="s">
        <v>828</v>
      </c>
      <c r="C21" s="3" t="s">
        <v>324</v>
      </c>
      <c r="D21" s="3">
        <v>4095</v>
      </c>
      <c r="E21" s="214">
        <v>45422</v>
      </c>
      <c r="F21" s="214">
        <v>45738</v>
      </c>
      <c r="G21" s="121">
        <f>SUM(K21:V21)</f>
        <v>4095</v>
      </c>
      <c r="H21" s="121"/>
      <c r="I21" s="597">
        <f>G21-H22</f>
        <v>1.4999999999872671E-2</v>
      </c>
      <c r="J21" s="220"/>
      <c r="K21" s="221"/>
      <c r="L21" s="222">
        <v>200</v>
      </c>
      <c r="M21" s="223">
        <v>500</v>
      </c>
      <c r="N21" s="221">
        <v>400</v>
      </c>
      <c r="O21" s="222">
        <v>300</v>
      </c>
      <c r="P21" s="223">
        <v>400</v>
      </c>
      <c r="Q21" s="221">
        <v>300</v>
      </c>
      <c r="R21" s="222">
        <v>300</v>
      </c>
      <c r="S21" s="223">
        <v>400</v>
      </c>
      <c r="T21" s="221">
        <v>400</v>
      </c>
      <c r="U21" s="222">
        <v>400</v>
      </c>
      <c r="V21" s="223">
        <v>495</v>
      </c>
      <c r="W21" s="221"/>
      <c r="X21" s="222"/>
      <c r="Y21" s="223"/>
      <c r="Z21" s="221"/>
      <c r="AA21" s="222"/>
      <c r="AB21" s="223"/>
      <c r="AC21" s="221"/>
      <c r="AD21" s="222"/>
      <c r="AE21" s="223"/>
    </row>
    <row r="22" spans="1:31" s="227" customFormat="1" ht="20.149999999999999" customHeight="1">
      <c r="A22" s="224"/>
      <c r="B22" s="225" t="s">
        <v>821</v>
      </c>
      <c r="C22" s="226"/>
      <c r="D22" s="229"/>
      <c r="E22" s="228"/>
      <c r="F22" s="228"/>
      <c r="G22" s="226"/>
      <c r="H22" s="1026">
        <v>4094.9850000000001</v>
      </c>
      <c r="I22" s="253">
        <f>D21-H22</f>
        <v>1.4999999999872671E-2</v>
      </c>
      <c r="J22" s="230"/>
      <c r="K22" s="231"/>
      <c r="L22" s="232">
        <v>264</v>
      </c>
      <c r="M22" s="233">
        <v>59.8</v>
      </c>
      <c r="N22" s="231">
        <v>524.23900000000003</v>
      </c>
      <c r="O22" s="232">
        <v>99.986999999999995</v>
      </c>
      <c r="P22" s="233">
        <v>249.458</v>
      </c>
      <c r="Q22" s="231">
        <f>200+299.972</f>
        <v>499.97199999999998</v>
      </c>
      <c r="R22" s="233">
        <v>249.898</v>
      </c>
      <c r="S22" s="231">
        <f>249.898+249.963</f>
        <v>499.86099999999999</v>
      </c>
      <c r="T22" s="232">
        <v>474.98700000000002</v>
      </c>
      <c r="U22" s="232">
        <v>1025.1679999999999</v>
      </c>
      <c r="V22" s="233"/>
      <c r="W22" s="231"/>
      <c r="X22" s="232"/>
      <c r="Y22" s="233"/>
      <c r="Z22" s="231"/>
      <c r="AA22" s="232"/>
      <c r="AB22" s="233"/>
      <c r="AC22" s="231"/>
      <c r="AD22" s="232"/>
      <c r="AE22" s="233"/>
    </row>
    <row r="23" spans="1:31" ht="20.149999999999999" customHeight="1">
      <c r="A23" s="219" t="s">
        <v>829</v>
      </c>
      <c r="B23" s="72" t="s">
        <v>830</v>
      </c>
      <c r="C23" s="3" t="s">
        <v>813</v>
      </c>
      <c r="D23" s="254">
        <v>1</v>
      </c>
      <c r="E23" s="214">
        <v>45485</v>
      </c>
      <c r="F23" s="214">
        <v>45651</v>
      </c>
      <c r="G23" s="266">
        <f>SUM(K23:S23)</f>
        <v>1</v>
      </c>
      <c r="H23" s="121"/>
      <c r="I23" s="266">
        <f>G23-H24</f>
        <v>0</v>
      </c>
      <c r="J23" s="215"/>
      <c r="K23" s="216"/>
      <c r="L23" s="217"/>
      <c r="M23" s="218"/>
      <c r="N23" s="216">
        <v>0.4</v>
      </c>
      <c r="O23" s="217"/>
      <c r="P23" s="218"/>
      <c r="Q23" s="216">
        <v>0.3</v>
      </c>
      <c r="R23" s="217"/>
      <c r="S23" s="218">
        <v>0.3</v>
      </c>
      <c r="T23" s="216"/>
      <c r="U23" s="217"/>
      <c r="V23" s="218"/>
      <c r="W23" s="216"/>
      <c r="X23" s="217"/>
      <c r="Y23" s="218"/>
      <c r="Z23" s="216"/>
      <c r="AA23" s="217"/>
      <c r="AB23" s="218"/>
      <c r="AC23" s="216"/>
      <c r="AD23" s="217"/>
      <c r="AE23" s="218"/>
    </row>
    <row r="24" spans="1:31" s="227" customFormat="1" ht="20.149999999999999" customHeight="1">
      <c r="A24" s="224"/>
      <c r="B24" s="225" t="s">
        <v>821</v>
      </c>
      <c r="C24" s="226"/>
      <c r="D24" s="229"/>
      <c r="E24" s="228"/>
      <c r="F24" s="228"/>
      <c r="G24" s="226"/>
      <c r="H24" s="238">
        <f>SUM(J24:AE24)</f>
        <v>1</v>
      </c>
      <c r="I24" s="255">
        <f>D23-H24</f>
        <v>0</v>
      </c>
      <c r="J24" s="234"/>
      <c r="K24" s="235"/>
      <c r="L24" s="236"/>
      <c r="M24" s="237"/>
      <c r="N24" s="235"/>
      <c r="O24" s="216">
        <v>0.4</v>
      </c>
      <c r="P24" s="237"/>
      <c r="Q24" s="235"/>
      <c r="R24" s="218">
        <v>0.3</v>
      </c>
      <c r="S24" s="218"/>
      <c r="T24" s="218">
        <v>0.3</v>
      </c>
      <c r="U24" s="236"/>
      <c r="V24" s="237"/>
      <c r="W24" s="235"/>
      <c r="X24" s="236"/>
      <c r="Y24" s="237"/>
      <c r="Z24" s="235"/>
      <c r="AA24" s="236"/>
      <c r="AB24" s="237"/>
      <c r="AC24" s="235"/>
      <c r="AD24" s="236"/>
      <c r="AE24" s="237"/>
    </row>
    <row r="25" spans="1:31" ht="25" customHeight="1">
      <c r="A25" s="219" t="s">
        <v>135</v>
      </c>
      <c r="B25" s="61" t="s">
        <v>831</v>
      </c>
      <c r="C25" s="3" t="s">
        <v>813</v>
      </c>
      <c r="D25" s="254">
        <v>1</v>
      </c>
      <c r="E25" s="214">
        <v>45470</v>
      </c>
      <c r="F25" s="214">
        <v>45651</v>
      </c>
      <c r="G25" s="266">
        <f>SUM(K25:T25)</f>
        <v>1</v>
      </c>
      <c r="H25" s="121"/>
      <c r="I25" s="652">
        <f>G25-H26</f>
        <v>0</v>
      </c>
      <c r="J25" s="215"/>
      <c r="K25" s="216"/>
      <c r="L25" s="217"/>
      <c r="M25" s="218">
        <v>0.4</v>
      </c>
      <c r="N25" s="216"/>
      <c r="O25" s="217"/>
      <c r="P25" s="218">
        <v>0.4</v>
      </c>
      <c r="Q25" s="216"/>
      <c r="R25" s="217"/>
      <c r="S25" s="218">
        <v>0.2</v>
      </c>
      <c r="T25" s="216"/>
      <c r="U25" s="217"/>
      <c r="V25" s="218"/>
      <c r="W25" s="216"/>
      <c r="X25" s="217"/>
      <c r="Y25" s="218"/>
      <c r="Z25" s="216"/>
      <c r="AA25" s="217"/>
      <c r="AB25" s="218"/>
      <c r="AC25" s="216"/>
      <c r="AD25" s="217"/>
      <c r="AE25" s="218"/>
    </row>
    <row r="26" spans="1:31" s="227" customFormat="1" ht="25" customHeight="1">
      <c r="A26" s="224"/>
      <c r="B26" s="225" t="s">
        <v>821</v>
      </c>
      <c r="C26" s="226"/>
      <c r="D26" s="238"/>
      <c r="E26" s="228"/>
      <c r="F26" s="228"/>
      <c r="G26" s="226"/>
      <c r="H26" s="238">
        <f>SUM(J26:AE26)</f>
        <v>1</v>
      </c>
      <c r="I26" s="255">
        <f>D25-H26</f>
        <v>0</v>
      </c>
      <c r="J26" s="234"/>
      <c r="K26" s="235"/>
      <c r="L26" s="236"/>
      <c r="M26" s="237"/>
      <c r="N26" s="235">
        <v>0.4</v>
      </c>
      <c r="O26" s="235">
        <v>0.4</v>
      </c>
      <c r="P26" s="237"/>
      <c r="Q26" s="235"/>
      <c r="R26" s="236"/>
      <c r="S26" s="237"/>
      <c r="T26" s="235">
        <v>0.2</v>
      </c>
      <c r="U26" s="236"/>
      <c r="V26" s="237"/>
      <c r="W26" s="235"/>
      <c r="X26" s="236"/>
      <c r="Y26" s="237"/>
      <c r="Z26" s="235"/>
      <c r="AA26" s="236"/>
      <c r="AB26" s="237"/>
      <c r="AC26" s="235"/>
      <c r="AD26" s="236"/>
      <c r="AE26" s="237"/>
    </row>
    <row r="27" spans="1:31" ht="20.149999999999999" customHeight="1">
      <c r="A27" s="219" t="s">
        <v>1065</v>
      </c>
      <c r="B27" s="61" t="s">
        <v>1066</v>
      </c>
      <c r="C27" s="3" t="s">
        <v>813</v>
      </c>
      <c r="D27" s="254">
        <v>1</v>
      </c>
      <c r="E27" s="214">
        <v>45544</v>
      </c>
      <c r="F27" s="214">
        <v>45651</v>
      </c>
      <c r="G27" s="553">
        <f>SUM(K27:S27)</f>
        <v>1</v>
      </c>
      <c r="H27" s="121"/>
      <c r="I27" s="266">
        <f>G27-H28</f>
        <v>1</v>
      </c>
      <c r="J27" s="215"/>
      <c r="K27" s="216"/>
      <c r="L27" s="217"/>
      <c r="M27" s="218"/>
      <c r="N27" s="216"/>
      <c r="O27" s="217"/>
      <c r="P27" s="218">
        <v>0.7</v>
      </c>
      <c r="Q27" s="216"/>
      <c r="R27" s="217"/>
      <c r="S27" s="218">
        <v>0.3</v>
      </c>
      <c r="T27" s="216"/>
      <c r="U27" s="217"/>
      <c r="V27" s="218"/>
      <c r="W27" s="216"/>
      <c r="X27" s="217"/>
      <c r="Y27" s="218"/>
      <c r="Z27" s="216"/>
      <c r="AA27" s="217"/>
      <c r="AB27" s="218"/>
      <c r="AC27" s="216"/>
      <c r="AD27" s="217"/>
      <c r="AE27" s="218"/>
    </row>
    <row r="28" spans="1:31" s="227" customFormat="1" ht="20.149999999999999" customHeight="1">
      <c r="A28" s="224"/>
      <c r="B28" s="225" t="s">
        <v>821</v>
      </c>
      <c r="C28" s="226"/>
      <c r="D28" s="238"/>
      <c r="E28" s="228"/>
      <c r="F28" s="228"/>
      <c r="G28" s="226"/>
      <c r="H28" s="238">
        <f>SUM(J28:AE28)</f>
        <v>0</v>
      </c>
      <c r="I28" s="255">
        <f>D27-H28</f>
        <v>1</v>
      </c>
      <c r="J28" s="234"/>
      <c r="K28" s="235"/>
      <c r="L28" s="236"/>
      <c r="M28" s="237"/>
      <c r="N28" s="235"/>
      <c r="O28" s="236"/>
      <c r="P28" s="237"/>
      <c r="Q28" s="235"/>
      <c r="R28" s="236"/>
      <c r="S28" s="237"/>
      <c r="T28" s="235"/>
      <c r="U28" s="236"/>
      <c r="V28" s="237"/>
      <c r="W28" s="235"/>
      <c r="X28" s="236"/>
      <c r="Y28" s="237"/>
      <c r="Z28" s="235"/>
      <c r="AA28" s="236"/>
      <c r="AB28" s="237"/>
      <c r="AC28" s="235"/>
      <c r="AD28" s="236"/>
      <c r="AE28" s="237"/>
    </row>
    <row r="29" spans="1:31" ht="20.149999999999999" customHeight="1">
      <c r="A29" s="219" t="s">
        <v>832</v>
      </c>
      <c r="B29" s="72" t="s">
        <v>833</v>
      </c>
      <c r="C29" s="3" t="s">
        <v>813</v>
      </c>
      <c r="D29" s="254">
        <v>1</v>
      </c>
      <c r="E29" s="214">
        <v>45658</v>
      </c>
      <c r="F29" s="214">
        <v>45688</v>
      </c>
      <c r="G29" s="553">
        <f>SUM(K29:Q29)</f>
        <v>0</v>
      </c>
      <c r="H29" s="121"/>
      <c r="I29" s="121">
        <f>G29-H30</f>
        <v>0</v>
      </c>
      <c r="J29" s="215"/>
      <c r="K29" s="216"/>
      <c r="L29" s="217"/>
      <c r="M29" s="218"/>
      <c r="N29" s="216"/>
      <c r="O29" s="217"/>
      <c r="P29" s="218"/>
      <c r="Q29" s="216"/>
      <c r="R29" s="217"/>
      <c r="S29" s="218"/>
      <c r="T29" s="216">
        <v>1</v>
      </c>
      <c r="U29" s="217"/>
      <c r="V29" s="218"/>
      <c r="W29" s="216"/>
      <c r="X29" s="217"/>
      <c r="Y29" s="218"/>
      <c r="Z29" s="216"/>
      <c r="AA29" s="217"/>
      <c r="AB29" s="218"/>
      <c r="AC29" s="216"/>
      <c r="AD29" s="217"/>
      <c r="AE29" s="218"/>
    </row>
    <row r="30" spans="1:31" s="227" customFormat="1" ht="20.149999999999999" customHeight="1">
      <c r="A30" s="224"/>
      <c r="B30" s="225" t="s">
        <v>821</v>
      </c>
      <c r="C30" s="226"/>
      <c r="D30" s="238"/>
      <c r="E30" s="228"/>
      <c r="F30" s="228"/>
      <c r="G30" s="226"/>
      <c r="H30" s="238">
        <f>SUM(J30:AE30)</f>
        <v>0</v>
      </c>
      <c r="I30" s="255">
        <f>D29-H30</f>
        <v>1</v>
      </c>
      <c r="J30" s="234"/>
      <c r="K30" s="235"/>
      <c r="L30" s="236"/>
      <c r="M30" s="237"/>
      <c r="N30" s="235"/>
      <c r="O30" s="236"/>
      <c r="P30" s="237"/>
      <c r="Q30" s="235"/>
      <c r="R30" s="236"/>
      <c r="S30" s="237"/>
      <c r="T30" s="235"/>
      <c r="U30" s="236"/>
      <c r="V30" s="237"/>
      <c r="W30" s="235"/>
      <c r="X30" s="236"/>
      <c r="Y30" s="237"/>
      <c r="Z30" s="235"/>
      <c r="AA30" s="236"/>
      <c r="AB30" s="237"/>
      <c r="AC30" s="235"/>
      <c r="AD30" s="236"/>
      <c r="AE30" s="237"/>
    </row>
    <row r="31" spans="1:31">
      <c r="A31" s="208"/>
      <c r="B31" s="209" t="s">
        <v>834</v>
      </c>
      <c r="C31" s="208"/>
      <c r="D31" s="208"/>
      <c r="E31" s="208"/>
      <c r="F31" s="208"/>
      <c r="G31" s="250"/>
      <c r="H31" s="250"/>
      <c r="I31" s="250"/>
      <c r="J31" s="210"/>
      <c r="K31" s="211"/>
      <c r="L31" s="212"/>
      <c r="M31" s="213"/>
      <c r="N31" s="211"/>
      <c r="O31" s="212"/>
      <c r="P31" s="213"/>
      <c r="Q31" s="211"/>
      <c r="R31" s="212"/>
      <c r="S31" s="213"/>
      <c r="T31" s="211"/>
      <c r="U31" s="212"/>
      <c r="V31" s="213"/>
      <c r="W31" s="211"/>
      <c r="X31" s="212"/>
      <c r="Y31" s="213"/>
      <c r="Z31" s="211"/>
      <c r="AA31" s="212"/>
      <c r="AB31" s="213"/>
      <c r="AC31" s="211"/>
      <c r="AD31" s="212"/>
      <c r="AE31" s="213"/>
    </row>
    <row r="32" spans="1:31" ht="30.75" customHeight="1">
      <c r="A32" s="3">
        <v>1</v>
      </c>
      <c r="B32" s="61" t="s">
        <v>835</v>
      </c>
      <c r="C32" s="3" t="s">
        <v>813</v>
      </c>
      <c r="D32" s="3">
        <v>100</v>
      </c>
      <c r="E32" s="214">
        <v>45371</v>
      </c>
      <c r="F32" s="214">
        <v>45411</v>
      </c>
      <c r="G32" s="121"/>
      <c r="H32" s="121"/>
      <c r="I32" s="121"/>
      <c r="J32" s="215"/>
      <c r="K32" s="216"/>
      <c r="L32" s="217"/>
      <c r="M32" s="218"/>
      <c r="N32" s="216"/>
      <c r="O32" s="217"/>
      <c r="P32" s="218"/>
      <c r="Q32" s="216"/>
      <c r="R32" s="217"/>
      <c r="S32" s="218"/>
      <c r="T32" s="216"/>
      <c r="U32" s="217"/>
      <c r="V32" s="218"/>
      <c r="W32" s="216"/>
      <c r="X32" s="217"/>
      <c r="Y32" s="218"/>
      <c r="Z32" s="216"/>
      <c r="AA32" s="217"/>
      <c r="AB32" s="218"/>
      <c r="AC32" s="216"/>
      <c r="AD32" s="217"/>
      <c r="AE32" s="218"/>
    </row>
    <row r="33" spans="1:31" ht="25" customHeight="1">
      <c r="A33" s="3">
        <f>A32+1</f>
        <v>2</v>
      </c>
      <c r="B33" s="72" t="s">
        <v>836</v>
      </c>
      <c r="C33" s="3" t="s">
        <v>324</v>
      </c>
      <c r="D33" s="3">
        <v>112</v>
      </c>
      <c r="E33" s="214">
        <v>45384</v>
      </c>
      <c r="F33" s="214">
        <v>45402</v>
      </c>
      <c r="G33" s="121"/>
      <c r="H33" s="121"/>
      <c r="I33" s="121"/>
      <c r="J33" s="220"/>
      <c r="K33" s="221">
        <v>112</v>
      </c>
      <c r="L33" s="222"/>
      <c r="M33" s="223"/>
      <c r="N33" s="221"/>
      <c r="O33" s="222"/>
      <c r="P33" s="223"/>
      <c r="Q33" s="221"/>
      <c r="R33" s="222"/>
      <c r="S33" s="223"/>
      <c r="T33" s="221"/>
      <c r="U33" s="222"/>
      <c r="V33" s="223"/>
      <c r="W33" s="221"/>
      <c r="X33" s="222"/>
      <c r="Y33" s="223"/>
      <c r="Z33" s="221"/>
      <c r="AA33" s="222"/>
      <c r="AB33" s="223"/>
      <c r="AC33" s="221"/>
      <c r="AD33" s="222"/>
      <c r="AE33" s="223"/>
    </row>
    <row r="34" spans="1:31" s="247" customFormat="1" ht="20.149999999999999" customHeight="1">
      <c r="A34" s="239"/>
      <c r="B34" s="240" t="s">
        <v>821</v>
      </c>
      <c r="C34" s="241"/>
      <c r="D34" s="229">
        <f>SUM(J34:AE34)</f>
        <v>115</v>
      </c>
      <c r="E34" s="241"/>
      <c r="F34" s="241"/>
      <c r="G34" s="251"/>
      <c r="H34" s="229">
        <f>SUM(J34:AE34)</f>
        <v>115</v>
      </c>
      <c r="I34" s="242"/>
      <c r="J34" s="243"/>
      <c r="K34" s="244"/>
      <c r="L34" s="245">
        <v>115</v>
      </c>
      <c r="M34" s="246"/>
      <c r="N34" s="244"/>
      <c r="O34" s="245"/>
      <c r="P34" s="246"/>
      <c r="Q34" s="244"/>
      <c r="R34" s="245"/>
      <c r="S34" s="246"/>
      <c r="T34" s="244"/>
      <c r="U34" s="245"/>
      <c r="V34" s="246"/>
      <c r="W34" s="244"/>
      <c r="X34" s="245"/>
      <c r="Y34" s="246"/>
      <c r="Z34" s="244"/>
      <c r="AA34" s="245"/>
      <c r="AB34" s="246"/>
      <c r="AC34" s="244"/>
      <c r="AD34" s="245"/>
      <c r="AE34" s="246"/>
    </row>
    <row r="35" spans="1:31" ht="25" customHeight="1">
      <c r="A35" s="3">
        <f>A33+1</f>
        <v>3</v>
      </c>
      <c r="B35" s="72" t="s">
        <v>837</v>
      </c>
      <c r="C35" s="3" t="s">
        <v>324</v>
      </c>
      <c r="D35" s="3">
        <v>112</v>
      </c>
      <c r="E35" s="214">
        <v>45404</v>
      </c>
      <c r="F35" s="214">
        <v>45532</v>
      </c>
      <c r="G35" s="121">
        <f>SUM(K35:Q35)</f>
        <v>112</v>
      </c>
      <c r="H35" s="121"/>
      <c r="I35" s="121">
        <f>G35-H36</f>
        <v>-3</v>
      </c>
      <c r="J35" s="220"/>
      <c r="K35" s="221">
        <v>10</v>
      </c>
      <c r="L35" s="222">
        <v>22</v>
      </c>
      <c r="M35" s="223">
        <v>34</v>
      </c>
      <c r="N35" s="221">
        <v>34</v>
      </c>
      <c r="O35" s="222">
        <v>12</v>
      </c>
      <c r="P35" s="223"/>
      <c r="Q35" s="221"/>
      <c r="R35" s="222"/>
      <c r="S35" s="223"/>
      <c r="T35" s="221"/>
      <c r="U35" s="222"/>
      <c r="V35" s="223"/>
      <c r="W35" s="221"/>
      <c r="X35" s="222"/>
      <c r="Y35" s="223"/>
      <c r="Z35" s="221"/>
      <c r="AA35" s="222"/>
      <c r="AB35" s="223"/>
      <c r="AC35" s="221"/>
      <c r="AD35" s="222"/>
      <c r="AE35" s="223"/>
    </row>
    <row r="36" spans="1:31" s="247" customFormat="1" ht="20.149999999999999" customHeight="1">
      <c r="A36" s="239"/>
      <c r="B36" s="240" t="s">
        <v>821</v>
      </c>
      <c r="C36" s="241"/>
      <c r="D36" s="229">
        <f>SUM(J36:AE36)</f>
        <v>115</v>
      </c>
      <c r="E36" s="241"/>
      <c r="F36" s="241"/>
      <c r="G36" s="251"/>
      <c r="H36" s="939">
        <f>SUM(J36:AE36)</f>
        <v>115</v>
      </c>
      <c r="I36" s="242"/>
      <c r="J36" s="243"/>
      <c r="K36" s="244"/>
      <c r="L36" s="248">
        <v>32.706000000000003</v>
      </c>
      <c r="M36" s="249">
        <v>31.917999999999999</v>
      </c>
      <c r="N36" s="244"/>
      <c r="O36" s="245">
        <v>50.376000000000005</v>
      </c>
      <c r="P36" s="246"/>
      <c r="Q36" s="244"/>
      <c r="R36" s="245"/>
      <c r="S36" s="246"/>
      <c r="T36" s="244"/>
      <c r="U36" s="245"/>
      <c r="V36" s="246"/>
      <c r="W36" s="244"/>
      <c r="X36" s="245"/>
      <c r="Y36" s="246"/>
      <c r="Z36" s="244"/>
      <c r="AA36" s="245"/>
      <c r="AB36" s="246"/>
      <c r="AC36" s="244"/>
      <c r="AD36" s="245"/>
      <c r="AE36" s="246"/>
    </row>
    <row r="37" spans="1:31" ht="25" customHeight="1">
      <c r="A37" s="3">
        <f>A35+1</f>
        <v>4</v>
      </c>
      <c r="B37" s="72" t="s">
        <v>838</v>
      </c>
      <c r="C37" s="3" t="s">
        <v>324</v>
      </c>
      <c r="D37" s="3">
        <v>112</v>
      </c>
      <c r="E37" s="214">
        <v>45409</v>
      </c>
      <c r="F37" s="214">
        <v>45592</v>
      </c>
      <c r="G37" s="597">
        <f>SUM(K37:Q37)</f>
        <v>112</v>
      </c>
      <c r="H37" s="121"/>
      <c r="I37" s="121">
        <f>G37-H38</f>
        <v>-2.97199999999998</v>
      </c>
      <c r="J37" s="220"/>
      <c r="K37" s="550">
        <v>5</v>
      </c>
      <c r="L37" s="551">
        <v>12</v>
      </c>
      <c r="M37" s="552">
        <v>20</v>
      </c>
      <c r="N37" s="550">
        <v>20</v>
      </c>
      <c r="O37" s="551">
        <v>20</v>
      </c>
      <c r="P37" s="552">
        <v>20</v>
      </c>
      <c r="Q37" s="550">
        <v>15</v>
      </c>
      <c r="R37" s="222"/>
      <c r="S37" s="223"/>
      <c r="T37" s="221"/>
      <c r="U37" s="222"/>
      <c r="V37" s="223"/>
      <c r="W37" s="221"/>
      <c r="X37" s="222"/>
      <c r="Y37" s="223"/>
      <c r="Z37" s="221"/>
      <c r="AA37" s="222"/>
      <c r="AB37" s="223"/>
      <c r="AC37" s="221"/>
      <c r="AD37" s="222"/>
      <c r="AE37" s="223"/>
    </row>
    <row r="38" spans="1:31" s="247" customFormat="1" ht="20.149999999999999" customHeight="1">
      <c r="A38" s="239"/>
      <c r="B38" s="240" t="s">
        <v>821</v>
      </c>
      <c r="C38" s="241"/>
      <c r="D38" s="229">
        <f>SUM(J38:AE38)</f>
        <v>114.97199999999998</v>
      </c>
      <c r="E38" s="241"/>
      <c r="F38" s="241"/>
      <c r="G38" s="251"/>
      <c r="H38" s="938">
        <f>SUM(J38:AE38)</f>
        <v>114.97199999999998</v>
      </c>
      <c r="I38" s="242"/>
      <c r="J38" s="243"/>
      <c r="K38" s="244"/>
      <c r="L38" s="248">
        <v>5.9690000000000003</v>
      </c>
      <c r="M38" s="249">
        <v>9.9410000000000007</v>
      </c>
      <c r="N38" s="244">
        <v>33.643000000000001</v>
      </c>
      <c r="O38" s="245">
        <v>29.495999999999999</v>
      </c>
      <c r="P38" s="246">
        <v>5.08</v>
      </c>
      <c r="Q38" s="244">
        <v>7.984</v>
      </c>
      <c r="R38" s="245">
        <v>15.688000000000001</v>
      </c>
      <c r="S38" s="246">
        <f>2.21+0.048</f>
        <v>2.258</v>
      </c>
      <c r="T38" s="244">
        <f>0.226+4.687</f>
        <v>4.9130000000000003</v>
      </c>
      <c r="U38" s="245"/>
      <c r="V38" s="246"/>
      <c r="W38" s="244"/>
      <c r="X38" s="245"/>
      <c r="Y38" s="246"/>
      <c r="Z38" s="244"/>
      <c r="AA38" s="245"/>
      <c r="AB38" s="246"/>
      <c r="AC38" s="244"/>
      <c r="AD38" s="245"/>
      <c r="AE38" s="246"/>
    </row>
    <row r="39" spans="1:31" ht="25" customHeight="1">
      <c r="A39" s="3">
        <f>A37+1</f>
        <v>5</v>
      </c>
      <c r="B39" s="72" t="s">
        <v>839</v>
      </c>
      <c r="C39" s="3" t="s">
        <v>813</v>
      </c>
      <c r="D39" s="3">
        <v>100</v>
      </c>
      <c r="E39" s="214">
        <v>45444</v>
      </c>
      <c r="F39" s="214">
        <v>45473</v>
      </c>
      <c r="G39" s="266">
        <f>SUM(K39:N39)</f>
        <v>1</v>
      </c>
      <c r="H39" s="121"/>
      <c r="I39" s="266">
        <f>G39-H40</f>
        <v>0</v>
      </c>
      <c r="J39" s="215"/>
      <c r="K39" s="216"/>
      <c r="L39" s="217"/>
      <c r="M39" s="218">
        <v>1</v>
      </c>
      <c r="N39" s="216"/>
      <c r="O39" s="217"/>
      <c r="P39" s="218"/>
      <c r="Q39" s="216"/>
      <c r="R39" s="217"/>
      <c r="S39" s="218"/>
      <c r="T39" s="216"/>
      <c r="U39" s="217"/>
      <c r="V39" s="218"/>
      <c r="W39" s="216"/>
      <c r="X39" s="217"/>
      <c r="Y39" s="218"/>
      <c r="Z39" s="216"/>
      <c r="AA39" s="217"/>
      <c r="AB39" s="218"/>
      <c r="AC39" s="216"/>
      <c r="AD39" s="217"/>
      <c r="AE39" s="218"/>
    </row>
    <row r="40" spans="1:31" s="247" customFormat="1" ht="20.149999999999999" customHeight="1">
      <c r="A40" s="239"/>
      <c r="B40" s="240" t="s">
        <v>821</v>
      </c>
      <c r="C40" s="241"/>
      <c r="D40" s="238">
        <f>SUM(J40:AE40)</f>
        <v>1</v>
      </c>
      <c r="E40" s="241"/>
      <c r="F40" s="241"/>
      <c r="G40" s="251"/>
      <c r="H40" s="940">
        <f>SUM(J40:AE40)</f>
        <v>1</v>
      </c>
      <c r="I40" s="242"/>
      <c r="J40" s="243"/>
      <c r="K40" s="244"/>
      <c r="L40" s="245"/>
      <c r="M40" s="237">
        <v>1</v>
      </c>
      <c r="N40" s="244"/>
      <c r="O40" s="245"/>
      <c r="P40" s="246"/>
      <c r="Q40" s="244"/>
      <c r="R40" s="245"/>
      <c r="S40" s="246"/>
      <c r="T40" s="244"/>
      <c r="U40" s="245"/>
      <c r="V40" s="246"/>
      <c r="W40" s="244"/>
      <c r="X40" s="245"/>
      <c r="Y40" s="246"/>
      <c r="Z40" s="244"/>
      <c r="AA40" s="245"/>
      <c r="AB40" s="246"/>
      <c r="AC40" s="244"/>
      <c r="AD40" s="245"/>
      <c r="AE40" s="246"/>
    </row>
    <row r="41" spans="1:31" ht="25" customHeight="1">
      <c r="A41" s="3">
        <f>A39+1</f>
        <v>6</v>
      </c>
      <c r="B41" s="72" t="s">
        <v>99</v>
      </c>
      <c r="C41" s="3" t="s">
        <v>127</v>
      </c>
      <c r="D41" s="3">
        <v>287</v>
      </c>
      <c r="E41" s="214">
        <v>45431</v>
      </c>
      <c r="F41" s="214">
        <v>45860</v>
      </c>
      <c r="G41" s="121">
        <f>SUM(K41:Z41)</f>
        <v>287</v>
      </c>
      <c r="H41" s="941"/>
      <c r="I41" s="598">
        <f>G41-H42</f>
        <v>-26</v>
      </c>
      <c r="J41" s="220"/>
      <c r="K41" s="221"/>
      <c r="L41" s="222">
        <v>6</v>
      </c>
      <c r="M41" s="223">
        <v>18</v>
      </c>
      <c r="N41" s="221">
        <v>18</v>
      </c>
      <c r="O41" s="222">
        <v>20</v>
      </c>
      <c r="P41" s="223">
        <v>22</v>
      </c>
      <c r="Q41" s="221">
        <v>22</v>
      </c>
      <c r="R41" s="222">
        <v>25</v>
      </c>
      <c r="S41" s="223">
        <v>25</v>
      </c>
      <c r="T41" s="221">
        <v>30</v>
      </c>
      <c r="U41" s="222">
        <v>30</v>
      </c>
      <c r="V41" s="223">
        <v>25</v>
      </c>
      <c r="W41" s="221">
        <v>15</v>
      </c>
      <c r="X41" s="222">
        <v>15</v>
      </c>
      <c r="Y41" s="223">
        <v>10</v>
      </c>
      <c r="Z41" s="221">
        <v>6</v>
      </c>
      <c r="AA41" s="222"/>
      <c r="AB41" s="223"/>
      <c r="AC41" s="221"/>
      <c r="AD41" s="222"/>
      <c r="AE41" s="223"/>
    </row>
    <row r="42" spans="1:31" s="247" customFormat="1" ht="20.149999999999999" customHeight="1">
      <c r="A42" s="239"/>
      <c r="B42" s="240" t="s">
        <v>821</v>
      </c>
      <c r="C42" s="241"/>
      <c r="D42" s="229">
        <f>SUM(J42:AE42)</f>
        <v>313</v>
      </c>
      <c r="E42" s="241"/>
      <c r="F42" s="241"/>
      <c r="G42" s="251"/>
      <c r="H42" s="1020">
        <f>SUM(J42:AE42)</f>
        <v>313</v>
      </c>
      <c r="I42" s="242"/>
      <c r="J42" s="243"/>
      <c r="K42" s="244"/>
      <c r="L42" s="245">
        <v>0</v>
      </c>
      <c r="M42" s="605">
        <v>14</v>
      </c>
      <c r="N42" s="606">
        <v>20</v>
      </c>
      <c r="O42" s="607">
        <v>23</v>
      </c>
      <c r="P42" s="605">
        <v>40</v>
      </c>
      <c r="Q42" s="606">
        <v>36</v>
      </c>
      <c r="R42" s="607">
        <v>24</v>
      </c>
      <c r="S42" s="627">
        <v>32</v>
      </c>
      <c r="T42" s="670">
        <v>35</v>
      </c>
      <c r="U42" s="730">
        <v>31</v>
      </c>
      <c r="V42" s="627">
        <v>19</v>
      </c>
      <c r="W42" s="670">
        <v>23</v>
      </c>
      <c r="X42" s="730">
        <v>10</v>
      </c>
      <c r="Y42" s="627">
        <v>4</v>
      </c>
      <c r="Z42" s="670">
        <v>2</v>
      </c>
      <c r="AA42" s="245"/>
      <c r="AB42" s="246"/>
      <c r="AC42" s="244"/>
      <c r="AD42" s="245"/>
      <c r="AE42" s="246"/>
    </row>
    <row r="43" spans="1:31" ht="25" customHeight="1">
      <c r="A43" s="3">
        <f>A41+1</f>
        <v>7</v>
      </c>
      <c r="B43" s="72" t="s">
        <v>275</v>
      </c>
      <c r="C43" s="3" t="s">
        <v>127</v>
      </c>
      <c r="D43" s="3">
        <v>287</v>
      </c>
      <c r="E43" s="214">
        <v>45457</v>
      </c>
      <c r="F43" s="214">
        <v>45925</v>
      </c>
      <c r="G43" s="121">
        <f>SUM(K43:AB43)</f>
        <v>287</v>
      </c>
      <c r="H43" s="941"/>
      <c r="I43" s="121">
        <f>G43-H44</f>
        <v>-7</v>
      </c>
      <c r="J43" s="220"/>
      <c r="K43" s="221"/>
      <c r="L43" s="222"/>
      <c r="M43" s="223">
        <v>4</v>
      </c>
      <c r="N43" s="221">
        <v>15</v>
      </c>
      <c r="O43" s="222">
        <v>15</v>
      </c>
      <c r="P43" s="223">
        <v>22</v>
      </c>
      <c r="Q43" s="221">
        <v>20</v>
      </c>
      <c r="R43" s="222">
        <v>22</v>
      </c>
      <c r="S43" s="223">
        <v>22</v>
      </c>
      <c r="T43" s="221">
        <v>22</v>
      </c>
      <c r="U43" s="222">
        <v>22</v>
      </c>
      <c r="V43" s="223">
        <v>22</v>
      </c>
      <c r="W43" s="221">
        <v>22</v>
      </c>
      <c r="X43" s="222">
        <v>20</v>
      </c>
      <c r="Y43" s="223">
        <v>20</v>
      </c>
      <c r="Z43" s="221">
        <v>20</v>
      </c>
      <c r="AA43" s="222">
        <v>12</v>
      </c>
      <c r="AB43" s="223">
        <v>7</v>
      </c>
      <c r="AC43" s="221"/>
      <c r="AD43" s="222"/>
      <c r="AE43" s="223"/>
    </row>
    <row r="44" spans="1:31" s="247" customFormat="1" ht="20.149999999999999" customHeight="1">
      <c r="A44" s="239"/>
      <c r="B44" s="240" t="s">
        <v>821</v>
      </c>
      <c r="C44" s="241"/>
      <c r="D44" s="241">
        <f>SUM(J44:AE44)</f>
        <v>294</v>
      </c>
      <c r="E44" s="241"/>
      <c r="F44" s="241"/>
      <c r="G44" s="251"/>
      <c r="H44" s="939">
        <f>SUM(J44:AE44)</f>
        <v>294</v>
      </c>
      <c r="I44" s="242"/>
      <c r="J44" s="243"/>
      <c r="K44" s="244"/>
      <c r="L44" s="245"/>
      <c r="M44" s="246">
        <v>0</v>
      </c>
      <c r="N44" s="244">
        <v>0</v>
      </c>
      <c r="O44" s="245"/>
      <c r="P44" s="671">
        <v>2</v>
      </c>
      <c r="Q44" s="606">
        <v>5</v>
      </c>
      <c r="R44" s="607">
        <v>2</v>
      </c>
      <c r="S44" s="605">
        <v>13</v>
      </c>
      <c r="T44" s="606">
        <v>25</v>
      </c>
      <c r="U44" s="607">
        <v>21</v>
      </c>
      <c r="V44" s="605">
        <v>25</v>
      </c>
      <c r="W44" s="606">
        <v>11</v>
      </c>
      <c r="X44" s="1033"/>
      <c r="Y44" s="1038"/>
      <c r="Z44" s="1055">
        <v>8</v>
      </c>
      <c r="AA44" s="1053">
        <v>44</v>
      </c>
      <c r="AB44" s="1054">
        <v>62</v>
      </c>
      <c r="AC44" s="670">
        <v>39</v>
      </c>
      <c r="AD44" s="730">
        <v>24</v>
      </c>
      <c r="AE44" s="627">
        <v>13</v>
      </c>
    </row>
    <row r="45" spans="1:31" ht="25" customHeight="1">
      <c r="A45" s="3">
        <f>A43+1</f>
        <v>8</v>
      </c>
      <c r="B45" s="72" t="s">
        <v>840</v>
      </c>
      <c r="C45" s="3" t="s">
        <v>324</v>
      </c>
      <c r="D45" s="3">
        <v>112</v>
      </c>
      <c r="E45" s="214">
        <v>45520</v>
      </c>
      <c r="F45" s="214">
        <v>45958</v>
      </c>
      <c r="G45" s="121">
        <f>SUM(K45:AC45)</f>
        <v>112</v>
      </c>
      <c r="H45" s="941"/>
      <c r="I45" s="121">
        <f>G45-H46</f>
        <v>72.450999999999993</v>
      </c>
      <c r="J45" s="220"/>
      <c r="K45" s="221"/>
      <c r="L45" s="222"/>
      <c r="M45" s="223"/>
      <c r="N45" s="221"/>
      <c r="O45" s="222">
        <v>4</v>
      </c>
      <c r="P45" s="223">
        <v>4</v>
      </c>
      <c r="Q45" s="221">
        <v>8</v>
      </c>
      <c r="R45" s="222">
        <v>8</v>
      </c>
      <c r="S45" s="223">
        <v>8</v>
      </c>
      <c r="T45" s="221">
        <v>8</v>
      </c>
      <c r="U45" s="222">
        <v>10</v>
      </c>
      <c r="V45" s="223">
        <v>10</v>
      </c>
      <c r="W45" s="221">
        <v>10</v>
      </c>
      <c r="X45" s="222">
        <v>10</v>
      </c>
      <c r="Y45" s="223">
        <v>8</v>
      </c>
      <c r="Z45" s="221">
        <v>8</v>
      </c>
      <c r="AA45" s="222">
        <v>8</v>
      </c>
      <c r="AB45" s="223">
        <v>4</v>
      </c>
      <c r="AC45" s="221">
        <v>4</v>
      </c>
      <c r="AD45" s="222"/>
      <c r="AE45" s="223"/>
    </row>
    <row r="46" spans="1:31" s="247" customFormat="1" ht="20.149999999999999" customHeight="1">
      <c r="A46" s="239"/>
      <c r="B46" s="240" t="s">
        <v>821</v>
      </c>
      <c r="C46" s="241"/>
      <c r="D46" s="241">
        <f>SUM(J46:AE46)</f>
        <v>39.548999999999999</v>
      </c>
      <c r="E46" s="241"/>
      <c r="F46" s="241"/>
      <c r="G46" s="251"/>
      <c r="H46" s="939">
        <f>SUM(J46:AE46)</f>
        <v>39.548999999999999</v>
      </c>
      <c r="I46" s="242"/>
      <c r="J46" s="243"/>
      <c r="K46" s="244"/>
      <c r="L46" s="245"/>
      <c r="M46" s="246"/>
      <c r="N46" s="244"/>
      <c r="O46" s="245"/>
      <c r="P46" s="246"/>
      <c r="Q46" s="244"/>
      <c r="R46" s="245"/>
      <c r="S46" s="246"/>
      <c r="T46" s="244"/>
      <c r="U46" s="245"/>
      <c r="V46" s="249">
        <v>4.899</v>
      </c>
      <c r="W46" s="963">
        <v>11.464</v>
      </c>
      <c r="X46" s="245"/>
      <c r="Y46" s="246"/>
      <c r="Z46" s="244"/>
      <c r="AA46" s="245"/>
      <c r="AB46" s="246">
        <v>5.1340000000000003</v>
      </c>
      <c r="AC46" s="244">
        <v>4.9219999999999997</v>
      </c>
      <c r="AD46" s="245">
        <v>4.9009999999999998</v>
      </c>
      <c r="AE46" s="246">
        <v>8.2289999999999992</v>
      </c>
    </row>
    <row r="47" spans="1:31" ht="25" customHeight="1">
      <c r="A47" s="3">
        <f>A45+1</f>
        <v>9</v>
      </c>
      <c r="B47" s="72" t="s">
        <v>841</v>
      </c>
      <c r="C47" s="3" t="s">
        <v>324</v>
      </c>
      <c r="D47" s="3">
        <v>112</v>
      </c>
      <c r="E47" s="214">
        <v>45386</v>
      </c>
      <c r="F47" s="214">
        <v>45991</v>
      </c>
      <c r="G47" s="121">
        <f>SUM(K47:AD47)</f>
        <v>112</v>
      </c>
      <c r="H47" s="941"/>
      <c r="I47" s="121">
        <f>G47-H48</f>
        <v>98.388000000000005</v>
      </c>
      <c r="J47" s="220"/>
      <c r="K47" s="221"/>
      <c r="L47" s="222"/>
      <c r="M47" s="223"/>
      <c r="N47" s="221"/>
      <c r="O47" s="222"/>
      <c r="P47" s="223"/>
      <c r="Q47" s="221"/>
      <c r="R47" s="222"/>
      <c r="S47" s="223"/>
      <c r="T47" s="221"/>
      <c r="U47" s="222"/>
      <c r="V47" s="223"/>
      <c r="W47" s="221">
        <v>15</v>
      </c>
      <c r="X47" s="222">
        <v>20</v>
      </c>
      <c r="Y47" s="223">
        <v>20</v>
      </c>
      <c r="Z47" s="221">
        <v>20</v>
      </c>
      <c r="AA47" s="222">
        <v>10</v>
      </c>
      <c r="AB47" s="223">
        <v>10</v>
      </c>
      <c r="AC47" s="221">
        <v>10</v>
      </c>
      <c r="AD47" s="222">
        <v>7</v>
      </c>
      <c r="AE47" s="223"/>
    </row>
    <row r="48" spans="1:31" s="247" customFormat="1" ht="20.149999999999999" customHeight="1">
      <c r="A48" s="239"/>
      <c r="B48" s="240" t="s">
        <v>821</v>
      </c>
      <c r="C48" s="241"/>
      <c r="D48" s="229">
        <f>SUM(J48:AE48)</f>
        <v>13.612</v>
      </c>
      <c r="E48" s="241"/>
      <c r="F48" s="241"/>
      <c r="G48" s="251"/>
      <c r="H48" s="939">
        <f>SUM(J48:AE48)</f>
        <v>13.612</v>
      </c>
      <c r="I48" s="242"/>
      <c r="J48" s="243"/>
      <c r="K48" s="244"/>
      <c r="L48" s="245"/>
      <c r="M48" s="246"/>
      <c r="N48" s="244"/>
      <c r="O48" s="245"/>
      <c r="P48" s="246"/>
      <c r="Q48" s="244"/>
      <c r="R48" s="245"/>
      <c r="S48" s="246"/>
      <c r="T48" s="244"/>
      <c r="U48" s="245"/>
      <c r="V48" s="246"/>
      <c r="W48" s="670">
        <v>13.612</v>
      </c>
      <c r="X48" s="245"/>
      <c r="Y48" s="246"/>
      <c r="Z48" s="244"/>
      <c r="AA48" s="245"/>
      <c r="AB48" s="246"/>
      <c r="AC48" s="244"/>
      <c r="AD48" s="245"/>
      <c r="AE48" s="246"/>
    </row>
    <row r="49" spans="1:31" ht="25" customHeight="1">
      <c r="A49" s="3">
        <f>A47+1</f>
        <v>10</v>
      </c>
      <c r="B49" s="72" t="s">
        <v>842</v>
      </c>
      <c r="C49" s="3" t="s">
        <v>813</v>
      </c>
      <c r="D49" s="3">
        <v>100</v>
      </c>
      <c r="E49" s="214">
        <v>45931</v>
      </c>
      <c r="F49" s="214">
        <v>46002</v>
      </c>
      <c r="G49" s="553">
        <f>SUM(K49:S49)</f>
        <v>0</v>
      </c>
      <c r="H49" s="121"/>
      <c r="I49" s="121">
        <f>G49-H50</f>
        <v>0</v>
      </c>
      <c r="J49" s="215"/>
      <c r="K49" s="216"/>
      <c r="L49" s="217"/>
      <c r="M49" s="218"/>
      <c r="N49" s="216"/>
      <c r="O49" s="217"/>
      <c r="P49" s="218"/>
      <c r="Q49" s="216"/>
      <c r="R49" s="217"/>
      <c r="S49" s="218"/>
      <c r="T49" s="216"/>
      <c r="U49" s="217"/>
      <c r="V49" s="218"/>
      <c r="W49" s="216"/>
      <c r="X49" s="217"/>
      <c r="Y49" s="218"/>
      <c r="Z49" s="216"/>
      <c r="AA49" s="217"/>
      <c r="AB49" s="218"/>
      <c r="AC49" s="216">
        <v>0.4</v>
      </c>
      <c r="AD49" s="217">
        <v>0.5</v>
      </c>
      <c r="AE49" s="218">
        <v>0.1</v>
      </c>
    </row>
    <row r="50" spans="1:31" s="247" customFormat="1" ht="20.149999999999999" customHeight="1">
      <c r="A50" s="239"/>
      <c r="B50" s="240" t="s">
        <v>821</v>
      </c>
      <c r="C50" s="241"/>
      <c r="D50" s="241">
        <f>SUM(J50:AE50)</f>
        <v>0</v>
      </c>
      <c r="E50" s="241"/>
      <c r="F50" s="241"/>
      <c r="G50" s="251"/>
      <c r="H50" s="251">
        <f>SUM(J50:AE50)</f>
        <v>0</v>
      </c>
      <c r="I50" s="242"/>
      <c r="J50" s="243"/>
      <c r="K50" s="244"/>
      <c r="L50" s="245"/>
      <c r="M50" s="246"/>
      <c r="N50" s="244"/>
      <c r="O50" s="245"/>
      <c r="P50" s="246"/>
      <c r="Q50" s="244"/>
      <c r="R50" s="245"/>
      <c r="S50" s="246"/>
      <c r="T50" s="244"/>
      <c r="U50" s="245"/>
      <c r="V50" s="246"/>
      <c r="W50" s="244"/>
      <c r="X50" s="245"/>
      <c r="Y50" s="246"/>
      <c r="Z50" s="244"/>
      <c r="AA50" s="245"/>
      <c r="AB50" s="246"/>
      <c r="AC50" s="244"/>
      <c r="AD50" s="245"/>
      <c r="AE50" s="246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0" customWidth="1"/>
    <col min="3" max="3" width="9.54296875" style="2" customWidth="1"/>
    <col min="4" max="4" width="12" style="2" customWidth="1"/>
    <col min="5" max="10" width="13" style="70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0" customWidth="1"/>
    <col min="16" max="16" width="13.453125" style="70" customWidth="1"/>
    <col min="17" max="16384" width="9.1796875" style="70"/>
  </cols>
  <sheetData>
    <row r="1" spans="1:14" ht="15" thickBot="1">
      <c r="A1" s="1581" t="s">
        <v>373</v>
      </c>
      <c r="B1" s="1582"/>
      <c r="C1" s="1582"/>
      <c r="D1" s="1582"/>
      <c r="E1" s="1583" t="s">
        <v>374</v>
      </c>
      <c r="F1" s="1583"/>
      <c r="G1" s="1583"/>
      <c r="H1" s="1583"/>
      <c r="I1" s="1583"/>
      <c r="J1" s="1583"/>
      <c r="K1" s="1584" t="s">
        <v>375</v>
      </c>
      <c r="L1" s="1584"/>
      <c r="M1" s="1584"/>
      <c r="N1" s="1585"/>
    </row>
    <row r="2" spans="1:14" s="2" customFormat="1" ht="31.5" customHeight="1" thickBot="1">
      <c r="A2" s="677" t="s">
        <v>376</v>
      </c>
      <c r="B2" s="678" t="s">
        <v>94</v>
      </c>
      <c r="C2" s="678" t="s">
        <v>377</v>
      </c>
      <c r="D2" s="679" t="s">
        <v>378</v>
      </c>
      <c r="E2" s="679" t="s">
        <v>379</v>
      </c>
      <c r="F2" s="679" t="s">
        <v>380</v>
      </c>
      <c r="G2" s="679" t="s">
        <v>488</v>
      </c>
      <c r="H2" s="679" t="s">
        <v>381</v>
      </c>
      <c r="I2" s="679" t="s">
        <v>382</v>
      </c>
      <c r="J2" s="679" t="s">
        <v>383</v>
      </c>
      <c r="K2" s="680" t="s">
        <v>40</v>
      </c>
      <c r="L2" s="680" t="s">
        <v>384</v>
      </c>
      <c r="M2" s="680" t="s">
        <v>382</v>
      </c>
      <c r="N2" s="681" t="s">
        <v>388</v>
      </c>
    </row>
    <row r="3" spans="1:14" s="2" customFormat="1">
      <c r="A3" s="256">
        <v>1</v>
      </c>
      <c r="B3" s="257" t="s">
        <v>915</v>
      </c>
      <c r="C3" s="682">
        <f>772.154/1000</f>
        <v>0.77215400000000001</v>
      </c>
      <c r="D3" s="683">
        <v>45435</v>
      </c>
      <c r="E3" s="683">
        <v>45442</v>
      </c>
      <c r="F3" s="683">
        <v>45442</v>
      </c>
      <c r="G3" s="683">
        <v>45434</v>
      </c>
      <c r="H3" s="684">
        <v>45516</v>
      </c>
      <c r="I3" s="684">
        <v>45516</v>
      </c>
      <c r="J3" s="684">
        <v>45516</v>
      </c>
      <c r="K3" s="258"/>
      <c r="L3" s="258"/>
      <c r="M3" s="258"/>
      <c r="N3" s="259"/>
    </row>
    <row r="4" spans="1:14">
      <c r="A4" s="4">
        <v>2</v>
      </c>
      <c r="B4" s="453" t="s">
        <v>916</v>
      </c>
      <c r="C4" s="452">
        <f>4860.728/1000</f>
        <v>4.8607279999999999</v>
      </c>
      <c r="D4" s="144">
        <v>45435</v>
      </c>
      <c r="E4" s="144">
        <v>45442</v>
      </c>
      <c r="F4" s="144">
        <v>45442</v>
      </c>
      <c r="G4" s="144">
        <v>45434</v>
      </c>
      <c r="H4" s="144">
        <v>45437</v>
      </c>
      <c r="I4" s="144">
        <v>45437</v>
      </c>
      <c r="J4" s="144">
        <v>45513</v>
      </c>
      <c r="K4" s="154">
        <v>45516</v>
      </c>
      <c r="L4" s="154"/>
      <c r="M4" s="154">
        <v>45516</v>
      </c>
      <c r="N4" s="260">
        <v>45516</v>
      </c>
    </row>
    <row r="5" spans="1:14" s="134" customFormat="1">
      <c r="A5" s="203">
        <v>3</v>
      </c>
      <c r="B5" s="453" t="s">
        <v>489</v>
      </c>
      <c r="C5" s="452">
        <f>5066.611/1000</f>
        <v>5.066611</v>
      </c>
      <c r="D5" s="144">
        <v>45420</v>
      </c>
      <c r="E5" s="144">
        <v>45427</v>
      </c>
      <c r="F5" s="144">
        <v>45429</v>
      </c>
      <c r="G5" s="144">
        <v>45434</v>
      </c>
      <c r="H5" s="144">
        <v>45437</v>
      </c>
      <c r="I5" s="144">
        <v>45437</v>
      </c>
      <c r="J5" s="144">
        <v>45440</v>
      </c>
      <c r="K5" s="154">
        <v>45526</v>
      </c>
      <c r="L5" s="154"/>
      <c r="M5" s="154">
        <v>45526</v>
      </c>
      <c r="N5" s="260">
        <v>45492</v>
      </c>
    </row>
    <row r="6" spans="1:14" s="134" customFormat="1">
      <c r="A6" s="203">
        <f>A5+1</f>
        <v>4</v>
      </c>
      <c r="B6" s="453" t="s">
        <v>490</v>
      </c>
      <c r="C6" s="452">
        <f>4837.87/1000</f>
        <v>4.8378699999999997</v>
      </c>
      <c r="D6" s="144">
        <v>45420</v>
      </c>
      <c r="E6" s="144">
        <v>45427</v>
      </c>
      <c r="F6" s="144">
        <v>45429</v>
      </c>
      <c r="G6" s="144">
        <v>45447</v>
      </c>
      <c r="H6" s="144">
        <v>45447</v>
      </c>
      <c r="I6" s="144">
        <v>45448</v>
      </c>
      <c r="J6" s="144">
        <v>45456</v>
      </c>
      <c r="K6" s="154">
        <v>45500</v>
      </c>
      <c r="L6" s="154"/>
      <c r="M6" s="154">
        <v>2</v>
      </c>
      <c r="N6" s="260">
        <v>45503</v>
      </c>
    </row>
    <row r="7" spans="1:14" s="134" customFormat="1">
      <c r="A7" s="203">
        <f>A6+1</f>
        <v>5</v>
      </c>
      <c r="B7" s="453" t="s">
        <v>882</v>
      </c>
      <c r="C7" s="452">
        <f>4901.24/1000</f>
        <v>4.9012399999999996</v>
      </c>
      <c r="D7" s="144">
        <v>45420</v>
      </c>
      <c r="E7" s="144">
        <v>45427</v>
      </c>
      <c r="F7" s="144">
        <v>45429</v>
      </c>
      <c r="G7" s="144">
        <v>45434</v>
      </c>
      <c r="H7" s="144">
        <v>45440</v>
      </c>
      <c r="I7" s="144">
        <v>45440</v>
      </c>
      <c r="J7" s="144">
        <v>45440</v>
      </c>
      <c r="K7" s="154">
        <v>45526</v>
      </c>
      <c r="L7" s="154"/>
      <c r="M7" s="154">
        <v>45526</v>
      </c>
      <c r="N7" s="260">
        <v>45523</v>
      </c>
    </row>
    <row r="8" spans="1:14" s="134" customFormat="1">
      <c r="A8" s="203">
        <f>A7+1</f>
        <v>6</v>
      </c>
      <c r="B8" s="453" t="s">
        <v>883</v>
      </c>
      <c r="C8" s="452">
        <f>5134.054/1000</f>
        <v>5.1340539999999999</v>
      </c>
      <c r="D8" s="144">
        <v>45420</v>
      </c>
      <c r="E8" s="144">
        <v>45427</v>
      </c>
      <c r="F8" s="144">
        <v>45429</v>
      </c>
      <c r="G8" s="144">
        <v>45434</v>
      </c>
      <c r="H8" s="144">
        <v>45440</v>
      </c>
      <c r="I8" s="144">
        <v>45440</v>
      </c>
      <c r="J8" s="144">
        <v>45440</v>
      </c>
      <c r="K8" s="154">
        <v>45500</v>
      </c>
      <c r="L8" s="154"/>
      <c r="M8" s="154">
        <v>45500</v>
      </c>
      <c r="N8" s="260">
        <v>45503</v>
      </c>
    </row>
    <row r="9" spans="1:14" s="134" customFormat="1">
      <c r="A9" s="203">
        <f>A8+1</f>
        <v>7</v>
      </c>
      <c r="B9" s="453" t="s">
        <v>385</v>
      </c>
      <c r="C9" s="452">
        <f>4921.629/1000</f>
        <v>4.9216290000000003</v>
      </c>
      <c r="D9" s="144">
        <v>45418</v>
      </c>
      <c r="E9" s="144">
        <v>45420</v>
      </c>
      <c r="F9" s="144">
        <v>45421</v>
      </c>
      <c r="G9" s="144">
        <v>45429</v>
      </c>
      <c r="H9" s="144">
        <v>45429</v>
      </c>
      <c r="I9" s="144">
        <v>45430</v>
      </c>
      <c r="J9" s="144">
        <v>45440</v>
      </c>
      <c r="K9" s="154">
        <v>45448</v>
      </c>
      <c r="L9" s="154"/>
      <c r="M9" s="154">
        <v>45456</v>
      </c>
      <c r="N9" s="260">
        <v>45456</v>
      </c>
    </row>
    <row r="10" spans="1:14" s="134" customFormat="1">
      <c r="A10" s="203">
        <f t="shared" ref="A10:A23" si="0">A9+1</f>
        <v>8</v>
      </c>
      <c r="B10" s="453" t="s">
        <v>386</v>
      </c>
      <c r="C10" s="452">
        <f>5969.103/1000</f>
        <v>5.9691030000000005</v>
      </c>
      <c r="D10" s="144">
        <v>45416</v>
      </c>
      <c r="E10" s="144">
        <v>45420</v>
      </c>
      <c r="F10" s="144">
        <v>45421</v>
      </c>
      <c r="G10" s="144">
        <v>45425</v>
      </c>
      <c r="H10" s="144">
        <v>45426</v>
      </c>
      <c r="I10" s="144">
        <v>45428</v>
      </c>
      <c r="J10" s="144">
        <v>45428</v>
      </c>
      <c r="K10" s="154">
        <v>45427</v>
      </c>
      <c r="L10" s="154">
        <v>45427</v>
      </c>
      <c r="M10" s="154">
        <v>45428</v>
      </c>
      <c r="N10" s="260">
        <v>45428</v>
      </c>
    </row>
    <row r="11" spans="1:14" s="134" customFormat="1">
      <c r="A11" s="203">
        <f t="shared" si="0"/>
        <v>9</v>
      </c>
      <c r="B11" s="453" t="s">
        <v>671</v>
      </c>
      <c r="C11" s="452">
        <f>1693.584/1000</f>
        <v>1.693584</v>
      </c>
      <c r="D11" s="144">
        <v>45425</v>
      </c>
      <c r="E11" s="144">
        <v>45427</v>
      </c>
      <c r="F11" s="144">
        <v>45433</v>
      </c>
      <c r="G11" s="144">
        <v>45438</v>
      </c>
      <c r="H11" s="144">
        <v>45439</v>
      </c>
      <c r="I11" s="144">
        <v>45439</v>
      </c>
      <c r="J11" s="144">
        <v>45439</v>
      </c>
      <c r="K11" s="154">
        <v>45497</v>
      </c>
      <c r="L11" s="154"/>
      <c r="M11" s="154">
        <v>45497</v>
      </c>
      <c r="N11" s="260">
        <v>45632</v>
      </c>
    </row>
    <row r="12" spans="1:14" s="134" customFormat="1">
      <c r="A12" s="203">
        <f>A11+1</f>
        <v>10</v>
      </c>
      <c r="B12" s="453" t="s">
        <v>672</v>
      </c>
      <c r="C12" s="452">
        <f>5019.34/1000</f>
        <v>5.0193400000000006</v>
      </c>
      <c r="D12" s="144">
        <v>45425</v>
      </c>
      <c r="E12" s="144">
        <v>45427</v>
      </c>
      <c r="F12" s="144">
        <v>45433</v>
      </c>
      <c r="G12" s="144">
        <v>45438</v>
      </c>
      <c r="H12" s="144">
        <v>45439</v>
      </c>
      <c r="I12" s="144">
        <v>45439</v>
      </c>
      <c r="J12" s="144">
        <v>45439</v>
      </c>
      <c r="K12" s="154">
        <v>45454</v>
      </c>
      <c r="L12" s="154"/>
      <c r="M12" s="154">
        <v>45454</v>
      </c>
      <c r="N12" s="260">
        <v>45454</v>
      </c>
    </row>
    <row r="13" spans="1:14" s="134" customFormat="1">
      <c r="A13" s="203">
        <f t="shared" si="0"/>
        <v>11</v>
      </c>
      <c r="B13" s="453" t="s">
        <v>1097</v>
      </c>
      <c r="C13" s="452">
        <v>3.8210000000000002</v>
      </c>
      <c r="D13" s="144">
        <v>45425</v>
      </c>
      <c r="E13" s="144">
        <v>45427</v>
      </c>
      <c r="F13" s="144">
        <v>45433</v>
      </c>
      <c r="G13" s="144">
        <v>45447</v>
      </c>
      <c r="H13" s="144">
        <v>45448</v>
      </c>
      <c r="I13" s="144">
        <v>45448</v>
      </c>
      <c r="J13" s="144">
        <v>45456</v>
      </c>
      <c r="K13" s="154">
        <v>45583</v>
      </c>
      <c r="L13" s="154"/>
      <c r="M13" s="154">
        <v>45583</v>
      </c>
      <c r="N13" s="260">
        <v>45583</v>
      </c>
    </row>
    <row r="14" spans="1:14" s="134" customFormat="1">
      <c r="A14" s="203">
        <f t="shared" si="0"/>
        <v>12</v>
      </c>
      <c r="B14" s="453" t="s">
        <v>1098</v>
      </c>
      <c r="C14" s="452">
        <f>279.36/1000</f>
        <v>0.27936</v>
      </c>
      <c r="D14" s="144">
        <v>45425</v>
      </c>
      <c r="E14" s="144">
        <v>45427</v>
      </c>
      <c r="F14" s="144">
        <v>45433</v>
      </c>
      <c r="G14" s="144">
        <v>45447</v>
      </c>
      <c r="H14" s="144">
        <v>45448</v>
      </c>
      <c r="I14" s="144">
        <v>45448</v>
      </c>
      <c r="J14" s="144">
        <v>45456</v>
      </c>
      <c r="K14" s="154">
        <v>45528</v>
      </c>
      <c r="L14" s="154"/>
      <c r="M14" s="154">
        <v>45528</v>
      </c>
      <c r="N14" s="260"/>
    </row>
    <row r="15" spans="1:14" s="134" customFormat="1">
      <c r="A15" s="203">
        <f t="shared" si="0"/>
        <v>13</v>
      </c>
      <c r="B15" s="453" t="s">
        <v>693</v>
      </c>
      <c r="C15" s="452">
        <f>2550.167/1000</f>
        <v>2.5501670000000001</v>
      </c>
      <c r="D15" s="144">
        <v>45425</v>
      </c>
      <c r="E15" s="144">
        <v>45427</v>
      </c>
      <c r="F15" s="144">
        <v>45433</v>
      </c>
      <c r="G15" s="144">
        <v>45447</v>
      </c>
      <c r="H15" s="144">
        <v>45448</v>
      </c>
      <c r="I15" s="144">
        <v>45448</v>
      </c>
      <c r="J15" s="144">
        <v>45456</v>
      </c>
      <c r="K15" s="154">
        <v>45465</v>
      </c>
      <c r="L15" s="154"/>
      <c r="M15" s="154">
        <v>45465</v>
      </c>
      <c r="N15" s="260">
        <v>45484</v>
      </c>
    </row>
    <row r="16" spans="1:14" s="134" customFormat="1">
      <c r="A16" s="203">
        <f t="shared" si="0"/>
        <v>14</v>
      </c>
      <c r="B16" s="453" t="s">
        <v>1219</v>
      </c>
      <c r="C16" s="452">
        <v>2.2835000000000001</v>
      </c>
      <c r="D16" s="144">
        <v>45425</v>
      </c>
      <c r="E16" s="144">
        <v>45427</v>
      </c>
      <c r="F16" s="144">
        <v>45433</v>
      </c>
      <c r="G16" s="144">
        <v>45447</v>
      </c>
      <c r="H16" s="144">
        <v>45448</v>
      </c>
      <c r="I16" s="144">
        <v>45448</v>
      </c>
      <c r="J16" s="144">
        <v>45456</v>
      </c>
      <c r="K16" s="154">
        <v>45693</v>
      </c>
      <c r="L16" s="154"/>
      <c r="M16" s="154">
        <v>45693</v>
      </c>
      <c r="N16" s="260"/>
    </row>
    <row r="17" spans="1:15" s="134" customFormat="1">
      <c r="A17" s="203">
        <f t="shared" si="0"/>
        <v>15</v>
      </c>
      <c r="B17" s="453" t="s">
        <v>758</v>
      </c>
      <c r="C17" s="452">
        <v>1.881</v>
      </c>
      <c r="D17" s="144">
        <v>45425</v>
      </c>
      <c r="E17" s="144">
        <v>45427</v>
      </c>
      <c r="F17" s="144">
        <v>45433</v>
      </c>
      <c r="G17" s="144">
        <v>45446</v>
      </c>
      <c r="H17" s="144">
        <v>45455</v>
      </c>
      <c r="I17" s="144">
        <v>45455</v>
      </c>
      <c r="J17" s="144">
        <v>45456</v>
      </c>
      <c r="K17" s="154">
        <v>45497</v>
      </c>
      <c r="L17" s="154"/>
      <c r="M17" s="154">
        <v>45497</v>
      </c>
      <c r="N17" s="260" t="s">
        <v>1177</v>
      </c>
    </row>
    <row r="18" spans="1:15" s="134" customFormat="1">
      <c r="A18" s="203">
        <f t="shared" si="0"/>
        <v>16</v>
      </c>
      <c r="B18" s="453" t="s">
        <v>759</v>
      </c>
      <c r="C18" s="452">
        <f>2548.275/1000</f>
        <v>2.5482750000000003</v>
      </c>
      <c r="D18" s="144">
        <v>45425</v>
      </c>
      <c r="E18" s="144">
        <v>45427</v>
      </c>
      <c r="F18" s="144">
        <v>45433</v>
      </c>
      <c r="G18" s="144">
        <v>45446</v>
      </c>
      <c r="H18" s="144">
        <v>45455</v>
      </c>
      <c r="I18" s="144">
        <v>45455</v>
      </c>
      <c r="J18" s="144">
        <v>45456</v>
      </c>
      <c r="K18" s="154">
        <v>45476</v>
      </c>
      <c r="L18" s="154"/>
      <c r="M18" s="154">
        <v>45477</v>
      </c>
      <c r="N18" s="260">
        <v>45484</v>
      </c>
    </row>
    <row r="19" spans="1:15" s="134" customFormat="1">
      <c r="A19" s="203">
        <f t="shared" si="0"/>
        <v>17</v>
      </c>
      <c r="B19" s="453" t="s">
        <v>802</v>
      </c>
      <c r="C19" s="452">
        <f>211.209/1000</f>
        <v>0.21120900000000001</v>
      </c>
      <c r="D19" s="144">
        <v>45425</v>
      </c>
      <c r="E19" s="144">
        <v>45427</v>
      </c>
      <c r="F19" s="144">
        <v>45433</v>
      </c>
      <c r="G19" s="144">
        <v>45446</v>
      </c>
      <c r="H19" s="144">
        <v>45455</v>
      </c>
      <c r="I19" s="144">
        <v>45455</v>
      </c>
      <c r="J19" s="144">
        <v>45456</v>
      </c>
      <c r="K19" s="154">
        <v>45497</v>
      </c>
      <c r="L19" s="154"/>
      <c r="M19" s="154">
        <v>45497</v>
      </c>
      <c r="N19" s="260">
        <v>45693</v>
      </c>
    </row>
    <row r="20" spans="1:15" s="134" customFormat="1">
      <c r="A20" s="203">
        <f t="shared" si="0"/>
        <v>18</v>
      </c>
      <c r="B20" s="453" t="s">
        <v>1005</v>
      </c>
      <c r="C20" s="452">
        <f>5048.211/1000</f>
        <v>5.0482110000000002</v>
      </c>
      <c r="D20" s="144">
        <v>45425</v>
      </c>
      <c r="E20" s="144">
        <v>45427</v>
      </c>
      <c r="F20" s="144">
        <v>45433</v>
      </c>
      <c r="G20" s="144">
        <v>45446</v>
      </c>
      <c r="H20" s="144">
        <v>45455</v>
      </c>
      <c r="I20" s="144">
        <v>45455</v>
      </c>
      <c r="J20" s="144">
        <v>45456</v>
      </c>
      <c r="K20" s="154">
        <v>45490</v>
      </c>
      <c r="L20" s="154"/>
      <c r="M20" s="154">
        <v>45490</v>
      </c>
      <c r="N20" s="260">
        <v>45491</v>
      </c>
    </row>
    <row r="21" spans="1:15" s="134" customFormat="1">
      <c r="A21" s="203">
        <f t="shared" si="0"/>
        <v>19</v>
      </c>
      <c r="B21" s="453" t="s">
        <v>982</v>
      </c>
      <c r="C21" s="452">
        <f>4124.232/1000</f>
        <v>4.1242320000000001</v>
      </c>
      <c r="D21" s="144">
        <v>45425</v>
      </c>
      <c r="E21" s="144">
        <v>45427</v>
      </c>
      <c r="F21" s="144">
        <v>45433</v>
      </c>
      <c r="G21" s="144">
        <v>45446</v>
      </c>
      <c r="H21" s="144">
        <v>45455</v>
      </c>
      <c r="I21" s="144">
        <v>45455</v>
      </c>
      <c r="J21" s="144">
        <v>45456</v>
      </c>
      <c r="K21" s="154">
        <v>45490</v>
      </c>
      <c r="L21" s="154">
        <v>45490</v>
      </c>
      <c r="M21" s="154">
        <v>45490</v>
      </c>
      <c r="N21" s="260">
        <v>45490</v>
      </c>
    </row>
    <row r="22" spans="1:15" s="134" customFormat="1">
      <c r="A22" s="203">
        <f t="shared" si="0"/>
        <v>20</v>
      </c>
      <c r="B22" s="453" t="s">
        <v>760</v>
      </c>
      <c r="C22" s="452">
        <f>4333.369/1000</f>
        <v>4.3333689999999994</v>
      </c>
      <c r="D22" s="144">
        <v>45425</v>
      </c>
      <c r="E22" s="144">
        <v>45427</v>
      </c>
      <c r="F22" s="144">
        <v>45433</v>
      </c>
      <c r="G22" s="144">
        <v>45446</v>
      </c>
      <c r="H22" s="144">
        <v>45455</v>
      </c>
      <c r="I22" s="144">
        <v>45455</v>
      </c>
      <c r="J22" s="144">
        <v>45456</v>
      </c>
      <c r="K22" s="154">
        <v>45477</v>
      </c>
      <c r="L22" s="154">
        <v>45477</v>
      </c>
      <c r="M22" s="154">
        <v>45477</v>
      </c>
      <c r="N22" s="260">
        <v>45484</v>
      </c>
    </row>
    <row r="23" spans="1:15" s="134" customFormat="1">
      <c r="A23" s="203">
        <f t="shared" si="0"/>
        <v>21</v>
      </c>
      <c r="B23" s="453" t="s">
        <v>771</v>
      </c>
      <c r="C23" s="452">
        <f>4123.949/1000</f>
        <v>4.1239489999999996</v>
      </c>
      <c r="D23" s="144">
        <v>45434</v>
      </c>
      <c r="E23" s="144">
        <v>45442</v>
      </c>
      <c r="F23" s="144">
        <v>45449</v>
      </c>
      <c r="G23" s="144" t="s">
        <v>1018</v>
      </c>
      <c r="H23" s="144">
        <v>45502</v>
      </c>
      <c r="I23" s="144">
        <v>45502</v>
      </c>
      <c r="J23" s="144">
        <v>45502</v>
      </c>
      <c r="K23" s="154">
        <v>45516</v>
      </c>
      <c r="L23" s="154"/>
      <c r="M23" s="154">
        <v>45516</v>
      </c>
      <c r="N23" s="260">
        <v>45516</v>
      </c>
    </row>
    <row r="24" spans="1:15" s="134" customFormat="1">
      <c r="A24" s="203">
        <f>A23+1</f>
        <v>22</v>
      </c>
      <c r="B24" s="453" t="s">
        <v>772</v>
      </c>
      <c r="C24" s="452">
        <f>4049.764/1000</f>
        <v>4.0497639999999997</v>
      </c>
      <c r="D24" s="144">
        <v>45434</v>
      </c>
      <c r="E24" s="144">
        <v>45442</v>
      </c>
      <c r="F24" s="144">
        <v>45449</v>
      </c>
      <c r="G24" s="144" t="s">
        <v>1018</v>
      </c>
      <c r="H24" s="144">
        <v>45502</v>
      </c>
      <c r="I24" s="144">
        <v>45502</v>
      </c>
      <c r="J24" s="144">
        <v>45502</v>
      </c>
      <c r="K24" s="154">
        <v>45516</v>
      </c>
      <c r="L24" s="154"/>
      <c r="M24" s="154">
        <v>45516</v>
      </c>
      <c r="N24" s="260">
        <v>45516</v>
      </c>
    </row>
    <row r="25" spans="1:15" s="134" customFormat="1">
      <c r="A25" s="203">
        <f t="shared" ref="A25:A32" si="1">A24+1</f>
        <v>23</v>
      </c>
      <c r="B25" s="453" t="s">
        <v>1022</v>
      </c>
      <c r="C25" s="452">
        <f>4898.588/1000</f>
        <v>4.8985880000000002</v>
      </c>
      <c r="D25" s="144">
        <v>45434</v>
      </c>
      <c r="E25" s="144">
        <v>45442</v>
      </c>
      <c r="F25" s="144">
        <v>45449</v>
      </c>
      <c r="G25" s="144" t="s">
        <v>1019</v>
      </c>
      <c r="H25" s="144">
        <v>45502</v>
      </c>
      <c r="I25" s="144">
        <v>45502</v>
      </c>
      <c r="J25" s="144">
        <v>45502</v>
      </c>
      <c r="K25" s="154">
        <v>45516</v>
      </c>
      <c r="L25" s="154"/>
      <c r="M25" s="154">
        <v>45516</v>
      </c>
      <c r="N25" s="260">
        <v>45516</v>
      </c>
    </row>
    <row r="26" spans="1:15" s="134" customFormat="1">
      <c r="A26" s="203">
        <f t="shared" si="1"/>
        <v>24</v>
      </c>
      <c r="B26" s="453" t="s">
        <v>1023</v>
      </c>
      <c r="C26" s="452">
        <f>6661.82/1000</f>
        <v>6.6618199999999996</v>
      </c>
      <c r="D26" s="144">
        <v>45434</v>
      </c>
      <c r="E26" s="144">
        <v>45442</v>
      </c>
      <c r="F26" s="144">
        <v>45449</v>
      </c>
      <c r="G26" s="144" t="s">
        <v>1019</v>
      </c>
      <c r="H26" s="144">
        <v>45502</v>
      </c>
      <c r="I26" s="144">
        <v>45502</v>
      </c>
      <c r="J26" s="144">
        <v>45502</v>
      </c>
      <c r="K26" s="154">
        <v>45516</v>
      </c>
      <c r="L26" s="154"/>
      <c r="M26" s="154">
        <v>45516</v>
      </c>
      <c r="N26" s="260">
        <v>45516</v>
      </c>
    </row>
    <row r="27" spans="1:15" s="134" customFormat="1">
      <c r="A27" s="203">
        <f t="shared" si="1"/>
        <v>25</v>
      </c>
      <c r="B27" s="453" t="s">
        <v>1024</v>
      </c>
      <c r="C27" s="452">
        <f>5079.983/1000</f>
        <v>5.0799830000000004</v>
      </c>
      <c r="D27" s="144">
        <v>45434</v>
      </c>
      <c r="E27" s="144">
        <v>45442</v>
      </c>
      <c r="F27" s="144">
        <v>45449</v>
      </c>
      <c r="G27" s="144" t="s">
        <v>1020</v>
      </c>
      <c r="H27" s="144">
        <v>45502</v>
      </c>
      <c r="I27" s="144">
        <v>45502</v>
      </c>
      <c r="J27" s="144">
        <v>45502</v>
      </c>
      <c r="K27" s="154">
        <v>45551</v>
      </c>
      <c r="L27" s="154"/>
      <c r="M27" s="154">
        <v>45551</v>
      </c>
      <c r="N27" s="260">
        <v>45551</v>
      </c>
    </row>
    <row r="28" spans="1:15" s="134" customFormat="1">
      <c r="A28" s="203">
        <f t="shared" si="1"/>
        <v>26</v>
      </c>
      <c r="B28" s="453" t="s">
        <v>1095</v>
      </c>
      <c r="C28" s="452">
        <v>4.1630000000000003</v>
      </c>
      <c r="D28" s="144">
        <v>45434</v>
      </c>
      <c r="E28" s="144">
        <v>45442</v>
      </c>
      <c r="F28" s="144">
        <v>45449</v>
      </c>
      <c r="G28" s="144" t="s">
        <v>1020</v>
      </c>
      <c r="H28" s="144">
        <v>45502</v>
      </c>
      <c r="I28" s="144">
        <v>45502</v>
      </c>
      <c r="J28" s="144">
        <v>45502</v>
      </c>
      <c r="K28" s="154">
        <v>45583</v>
      </c>
      <c r="L28" s="154"/>
      <c r="M28" s="154">
        <v>45583</v>
      </c>
      <c r="N28" s="260">
        <v>45583</v>
      </c>
    </row>
    <row r="29" spans="1:15" s="134" customFormat="1">
      <c r="A29" s="203">
        <f t="shared" si="1"/>
        <v>27</v>
      </c>
      <c r="B29" s="453" t="s">
        <v>1096</v>
      </c>
      <c r="C29" s="452">
        <v>4.7169999999999996</v>
      </c>
      <c r="D29" s="144">
        <v>45434</v>
      </c>
      <c r="E29" s="144">
        <v>45442</v>
      </c>
      <c r="F29" s="144">
        <v>45449</v>
      </c>
      <c r="G29" s="144" t="s">
        <v>1020</v>
      </c>
      <c r="H29" s="144">
        <v>45502</v>
      </c>
      <c r="I29" s="144">
        <v>45502</v>
      </c>
      <c r="J29" s="144">
        <v>45502</v>
      </c>
      <c r="K29" s="154">
        <v>45597</v>
      </c>
      <c r="L29" s="154"/>
      <c r="M29" s="154">
        <v>45597</v>
      </c>
      <c r="N29" s="260">
        <v>45597</v>
      </c>
    </row>
    <row r="30" spans="1:15" s="134" customFormat="1">
      <c r="A30" s="203">
        <f t="shared" si="1"/>
        <v>28</v>
      </c>
      <c r="B30" s="453" t="s">
        <v>773</v>
      </c>
      <c r="C30" s="452">
        <f>5026.525/1000</f>
        <v>5.0265249999999995</v>
      </c>
      <c r="D30" s="144">
        <v>45434</v>
      </c>
      <c r="E30" s="144">
        <v>45442</v>
      </c>
      <c r="F30" s="144">
        <v>45449</v>
      </c>
      <c r="G30" s="144" t="s">
        <v>1021</v>
      </c>
      <c r="H30" s="144">
        <v>45502</v>
      </c>
      <c r="I30" s="144">
        <v>45502</v>
      </c>
      <c r="J30" s="144">
        <v>45502</v>
      </c>
      <c r="K30" s="154">
        <v>45597</v>
      </c>
      <c r="L30" s="154"/>
      <c r="M30" s="154">
        <v>45597</v>
      </c>
      <c r="N30" s="260">
        <v>45597</v>
      </c>
      <c r="O30" s="590"/>
    </row>
    <row r="31" spans="1:15" s="134" customFormat="1">
      <c r="A31" s="203">
        <f t="shared" si="1"/>
        <v>29</v>
      </c>
      <c r="B31" s="453" t="s">
        <v>774</v>
      </c>
      <c r="C31" s="452">
        <f>5944.083/1000</f>
        <v>5.944083</v>
      </c>
      <c r="D31" s="144">
        <v>45434</v>
      </c>
      <c r="E31" s="144">
        <v>45442</v>
      </c>
      <c r="F31" s="144">
        <v>45449</v>
      </c>
      <c r="G31" s="144" t="s">
        <v>1021</v>
      </c>
      <c r="H31" s="144">
        <v>45502</v>
      </c>
      <c r="I31" s="144">
        <v>45502</v>
      </c>
      <c r="J31" s="144">
        <v>45502</v>
      </c>
      <c r="K31" s="154">
        <v>45597</v>
      </c>
      <c r="L31" s="154"/>
      <c r="M31" s="154">
        <v>45597</v>
      </c>
      <c r="N31" s="260">
        <v>45597</v>
      </c>
    </row>
    <row r="32" spans="1:15" ht="18" customHeight="1">
      <c r="A32" s="203">
        <f t="shared" si="1"/>
        <v>30</v>
      </c>
      <c r="B32" s="453" t="s">
        <v>1275</v>
      </c>
      <c r="C32" s="141">
        <f>2591.68/1000</f>
        <v>2.5916799999999998</v>
      </c>
      <c r="D32" s="144">
        <v>45708</v>
      </c>
      <c r="E32" s="144">
        <v>45708</v>
      </c>
      <c r="F32" s="144">
        <v>45708</v>
      </c>
      <c r="G32" s="144">
        <v>45708</v>
      </c>
      <c r="H32" s="144">
        <v>45708</v>
      </c>
      <c r="I32" s="144">
        <v>45708</v>
      </c>
      <c r="J32" s="144">
        <v>45708</v>
      </c>
      <c r="K32" s="154">
        <v>45708</v>
      </c>
      <c r="L32" s="154"/>
      <c r="M32" s="154">
        <v>45708</v>
      </c>
      <c r="N32" s="260">
        <v>45708</v>
      </c>
    </row>
    <row r="33" spans="1:14" s="134" customFormat="1">
      <c r="A33" s="203"/>
      <c r="B33" s="133" t="s">
        <v>387</v>
      </c>
      <c r="C33" s="141">
        <f>SUM(C3:C32)</f>
        <v>117.51302799999999</v>
      </c>
      <c r="D33" s="269">
        <f t="shared" ref="D33:J33" si="2">SUMIF(D3:D32,"&lt;&gt;",$C$3:$C$32)</f>
        <v>117.51302799999999</v>
      </c>
      <c r="E33" s="269">
        <f t="shared" si="2"/>
        <v>117.51302799999999</v>
      </c>
      <c r="F33" s="269">
        <f t="shared" si="2"/>
        <v>117.51302799999999</v>
      </c>
      <c r="G33" s="269">
        <f t="shared" si="2"/>
        <v>117.51302799999999</v>
      </c>
      <c r="H33" s="269">
        <f t="shared" si="2"/>
        <v>117.51302799999999</v>
      </c>
      <c r="I33" s="269">
        <f t="shared" si="2"/>
        <v>117.51302799999999</v>
      </c>
      <c r="J33" s="269">
        <f t="shared" si="2"/>
        <v>117.51302799999999</v>
      </c>
      <c r="K33" s="305">
        <f>SUMIF(K4:K32,"&lt;&gt;",$C$4:$C$32)</f>
        <v>116.74087399999999</v>
      </c>
      <c r="L33" s="305">
        <f>SUMIF(L4:L32,"&lt;&gt;",$C$4:$C$32)</f>
        <v>14.426703999999999</v>
      </c>
      <c r="M33" s="305">
        <f>SUMIF(M4:M32,"&lt;&gt;",$C$4:$C$32)</f>
        <v>116.74087399999999</v>
      </c>
      <c r="N33" s="304">
        <f>SUMIF(N4:N32,"&lt;&gt;",$C$4:$C$32)</f>
        <v>114.17801399999999</v>
      </c>
    </row>
    <row r="34" spans="1:14" s="134" customFormat="1" ht="15" thickBot="1">
      <c r="A34" s="261"/>
      <c r="B34" s="262" t="s">
        <v>0</v>
      </c>
      <c r="C34" s="24"/>
      <c r="D34" s="263">
        <f t="shared" ref="D34:J34" si="3">$D$33-D33</f>
        <v>0</v>
      </c>
      <c r="E34" s="263">
        <f t="shared" si="3"/>
        <v>0</v>
      </c>
      <c r="F34" s="263">
        <f t="shared" si="3"/>
        <v>0</v>
      </c>
      <c r="G34" s="263">
        <f t="shared" si="3"/>
        <v>0</v>
      </c>
      <c r="H34" s="263">
        <f t="shared" si="3"/>
        <v>0</v>
      </c>
      <c r="I34" s="263">
        <f t="shared" si="3"/>
        <v>0</v>
      </c>
      <c r="J34" s="263">
        <f t="shared" si="3"/>
        <v>0</v>
      </c>
      <c r="K34" s="264">
        <f>$D$33-K33</f>
        <v>0.77215400000000045</v>
      </c>
      <c r="L34" s="264">
        <f>$D$33-L33</f>
        <v>103.08632399999999</v>
      </c>
      <c r="M34" s="264">
        <f>$D$33-M33</f>
        <v>0.77215400000000045</v>
      </c>
      <c r="N34" s="265">
        <f>$D$33-N33</f>
        <v>3.335014000000001</v>
      </c>
    </row>
    <row r="35" spans="1:14">
      <c r="K35" s="155"/>
      <c r="L35" s="155"/>
      <c r="M35" s="155"/>
      <c r="N35" s="155"/>
    </row>
    <row r="36" spans="1:14">
      <c r="I36" s="36" t="s">
        <v>845</v>
      </c>
      <c r="J36" s="134">
        <f>I33-J33</f>
        <v>0</v>
      </c>
      <c r="K36" s="155"/>
      <c r="L36" s="155"/>
      <c r="M36" s="186" t="s">
        <v>845</v>
      </c>
      <c r="N36" s="604">
        <f>M33-N33</f>
        <v>2.5628600000000006</v>
      </c>
    </row>
    <row r="37" spans="1:14">
      <c r="G37" s="157"/>
      <c r="H37" s="157"/>
      <c r="K37" s="70"/>
      <c r="L37" s="70"/>
      <c r="M37" s="70"/>
      <c r="N37" s="70"/>
    </row>
    <row r="38" spans="1:14">
      <c r="C38" s="2">
        <v>2.2829999999999999</v>
      </c>
      <c r="G38" s="157"/>
      <c r="H38" s="157"/>
      <c r="K38" s="70"/>
      <c r="L38" s="70"/>
      <c r="M38" s="70"/>
      <c r="N38" s="70"/>
    </row>
    <row r="39" spans="1:14">
      <c r="K39" s="70"/>
      <c r="L39" s="70"/>
      <c r="M39" s="70"/>
      <c r="N39" s="70"/>
    </row>
    <row r="40" spans="1:14">
      <c r="K40" s="70"/>
      <c r="L40" s="70"/>
      <c r="M40" s="70"/>
      <c r="N40" s="70"/>
    </row>
    <row r="41" spans="1:14">
      <c r="K41" s="70"/>
      <c r="L41" s="70"/>
      <c r="M41" s="70"/>
      <c r="N41" s="70"/>
    </row>
    <row r="42" spans="1:14">
      <c r="K42" s="70"/>
      <c r="L42" s="70"/>
      <c r="M42" s="70"/>
      <c r="N42" s="70"/>
    </row>
    <row r="43" spans="1:14">
      <c r="K43" s="70"/>
      <c r="L43" s="70"/>
      <c r="M43" s="70"/>
      <c r="N43" s="70"/>
    </row>
    <row r="44" spans="1:14">
      <c r="K44" s="70"/>
      <c r="L44" s="70"/>
      <c r="M44" s="70"/>
      <c r="N44" s="70"/>
    </row>
    <row r="45" spans="1:14">
      <c r="K45" s="70"/>
      <c r="L45" s="70"/>
      <c r="M45" s="70"/>
      <c r="N45" s="70"/>
    </row>
    <row r="46" spans="1:14">
      <c r="K46" s="70"/>
      <c r="L46" s="70"/>
      <c r="M46" s="70"/>
      <c r="N46" s="70"/>
    </row>
    <row r="47" spans="1:14">
      <c r="K47" s="70"/>
      <c r="L47" s="70"/>
      <c r="M47" s="70"/>
      <c r="N47" s="70"/>
    </row>
    <row r="48" spans="1:14">
      <c r="K48" s="70"/>
      <c r="L48" s="70"/>
      <c r="M48" s="70"/>
      <c r="N48" s="70"/>
    </row>
    <row r="49" spans="11:14">
      <c r="K49" s="70"/>
      <c r="L49" s="70"/>
      <c r="M49" s="70"/>
      <c r="N49" s="70"/>
    </row>
    <row r="50" spans="11:14">
      <c r="K50" s="70"/>
      <c r="L50" s="70"/>
      <c r="M50" s="70"/>
      <c r="N50" s="70"/>
    </row>
    <row r="51" spans="11:14">
      <c r="K51" s="70"/>
      <c r="L51" s="70"/>
      <c r="M51" s="70"/>
      <c r="N51" s="70"/>
    </row>
    <row r="52" spans="11:14">
      <c r="K52" s="70"/>
      <c r="L52" s="70"/>
      <c r="M52" s="70"/>
      <c r="N52" s="70"/>
    </row>
    <row r="53" spans="11:14">
      <c r="K53" s="70"/>
      <c r="L53" s="70"/>
      <c r="M53" s="70"/>
      <c r="N53" s="70"/>
    </row>
    <row r="54" spans="11:14">
      <c r="K54" s="70"/>
      <c r="L54" s="70"/>
      <c r="M54" s="70"/>
      <c r="N54" s="70"/>
    </row>
    <row r="55" spans="11:14">
      <c r="K55" s="70"/>
      <c r="L55" s="70"/>
      <c r="M55" s="70"/>
      <c r="N55" s="70"/>
    </row>
    <row r="56" spans="11:14">
      <c r="K56" s="70"/>
      <c r="L56" s="70"/>
      <c r="M56" s="70"/>
      <c r="N56" s="70"/>
    </row>
    <row r="57" spans="11:14">
      <c r="K57" s="70"/>
      <c r="L57" s="70"/>
      <c r="M57" s="70"/>
      <c r="N57" s="70"/>
    </row>
    <row r="58" spans="11:14">
      <c r="K58" s="70"/>
      <c r="L58" s="70"/>
      <c r="M58" s="70"/>
      <c r="N58" s="70"/>
    </row>
    <row r="59" spans="11:14">
      <c r="K59" s="70"/>
      <c r="L59" s="70"/>
      <c r="M59" s="70"/>
      <c r="N59" s="70"/>
    </row>
    <row r="60" spans="11:14">
      <c r="K60" s="70"/>
      <c r="L60" s="70"/>
      <c r="M60" s="70"/>
      <c r="N60" s="70"/>
    </row>
    <row r="61" spans="11:14">
      <c r="K61" s="70"/>
      <c r="L61" s="70"/>
      <c r="M61" s="70"/>
      <c r="N61" s="70"/>
    </row>
    <row r="62" spans="11:14">
      <c r="K62" s="70"/>
      <c r="L62" s="70"/>
      <c r="M62" s="70"/>
      <c r="N62" s="70"/>
    </row>
    <row r="63" spans="11:14">
      <c r="K63" s="70"/>
      <c r="L63" s="70"/>
      <c r="M63" s="70"/>
      <c r="N63" s="70"/>
    </row>
    <row r="64" spans="11:14">
      <c r="K64" s="70"/>
      <c r="L64" s="70"/>
      <c r="M64" s="70"/>
      <c r="N64" s="70"/>
    </row>
    <row r="65" spans="11:14">
      <c r="K65" s="70"/>
      <c r="L65" s="70"/>
      <c r="M65" s="70"/>
      <c r="N65" s="70"/>
    </row>
    <row r="66" spans="11:14">
      <c r="K66" s="70"/>
      <c r="L66" s="70"/>
      <c r="M66" s="70"/>
      <c r="N66" s="70"/>
    </row>
    <row r="67" spans="11:14">
      <c r="K67" s="70"/>
      <c r="L67" s="70"/>
      <c r="M67" s="70"/>
      <c r="N67" s="70"/>
    </row>
    <row r="68" spans="11:14">
      <c r="K68" s="70"/>
      <c r="L68" s="70"/>
      <c r="M68" s="70"/>
      <c r="N68" s="70"/>
    </row>
    <row r="69" spans="11:14">
      <c r="K69" s="70"/>
      <c r="L69" s="70"/>
      <c r="M69" s="70"/>
      <c r="N69" s="70"/>
    </row>
    <row r="70" spans="11:14">
      <c r="K70" s="70"/>
      <c r="L70" s="70"/>
      <c r="M70" s="70"/>
      <c r="N70" s="70"/>
    </row>
    <row r="71" spans="11:14">
      <c r="K71" s="70"/>
      <c r="L71" s="70"/>
      <c r="M71" s="70"/>
      <c r="N71" s="70"/>
    </row>
    <row r="72" spans="11:14">
      <c r="K72" s="70"/>
      <c r="L72" s="70"/>
      <c r="M72" s="70"/>
      <c r="N72" s="70"/>
    </row>
    <row r="73" spans="11:14">
      <c r="K73" s="70"/>
      <c r="L73" s="70"/>
      <c r="M73" s="70"/>
      <c r="N73" s="70"/>
    </row>
    <row r="74" spans="11:14">
      <c r="K74" s="70"/>
      <c r="L74" s="70"/>
      <c r="M74" s="70"/>
      <c r="N74" s="70"/>
    </row>
    <row r="75" spans="11:14">
      <c r="K75" s="70"/>
      <c r="L75" s="70"/>
      <c r="M75" s="70"/>
      <c r="N75" s="70"/>
    </row>
    <row r="76" spans="11:14">
      <c r="K76" s="70"/>
      <c r="L76" s="70"/>
      <c r="M76" s="70"/>
      <c r="N76" s="70"/>
    </row>
    <row r="77" spans="11:14">
      <c r="K77" s="70"/>
      <c r="L77" s="70"/>
      <c r="M77" s="70"/>
      <c r="N77" s="70"/>
    </row>
    <row r="78" spans="11:14">
      <c r="K78" s="70"/>
      <c r="L78" s="70"/>
      <c r="M78" s="70"/>
      <c r="N78" s="70"/>
    </row>
    <row r="79" spans="11:14">
      <c r="K79" s="70"/>
      <c r="L79" s="70"/>
      <c r="M79" s="70"/>
      <c r="N79" s="70"/>
    </row>
    <row r="80" spans="11:14">
      <c r="K80" s="70"/>
      <c r="L80" s="70"/>
      <c r="M80" s="70"/>
      <c r="N80" s="70"/>
    </row>
    <row r="81" spans="11:14">
      <c r="K81" s="70"/>
      <c r="L81" s="70"/>
      <c r="M81" s="70"/>
      <c r="N81" s="70"/>
    </row>
    <row r="82" spans="11:14">
      <c r="K82" s="70"/>
      <c r="L82" s="70"/>
      <c r="M82" s="70"/>
      <c r="N82" s="70"/>
    </row>
    <row r="83" spans="11:14">
      <c r="K83" s="70"/>
      <c r="L83" s="70"/>
      <c r="M83" s="70"/>
      <c r="N83" s="70"/>
    </row>
    <row r="84" spans="11:14">
      <c r="K84" s="70"/>
      <c r="L84" s="70"/>
      <c r="M84" s="70"/>
      <c r="N84" s="70"/>
    </row>
    <row r="85" spans="11:14">
      <c r="K85" s="70"/>
      <c r="L85" s="70"/>
      <c r="M85" s="70"/>
      <c r="N85" s="70"/>
    </row>
    <row r="86" spans="11:14">
      <c r="K86" s="70"/>
      <c r="L86" s="70"/>
      <c r="M86" s="70"/>
      <c r="N86" s="70"/>
    </row>
    <row r="87" spans="11:14">
      <c r="K87" s="70"/>
      <c r="L87" s="70"/>
      <c r="M87" s="70"/>
      <c r="N87" s="70"/>
    </row>
    <row r="88" spans="11:14">
      <c r="K88" s="70"/>
      <c r="L88" s="70"/>
      <c r="M88" s="70"/>
      <c r="N88" s="70"/>
    </row>
    <row r="89" spans="11:14">
      <c r="K89" s="70"/>
      <c r="L89" s="70"/>
      <c r="M89" s="70"/>
      <c r="N89" s="70"/>
    </row>
    <row r="90" spans="11:14">
      <c r="K90" s="70"/>
      <c r="L90" s="70"/>
      <c r="M90" s="70"/>
      <c r="N90" s="70"/>
    </row>
    <row r="91" spans="11:14">
      <c r="K91" s="70"/>
      <c r="L91" s="70"/>
      <c r="M91" s="70"/>
      <c r="N91" s="70"/>
    </row>
    <row r="92" spans="11:14">
      <c r="K92" s="70"/>
      <c r="L92" s="70"/>
      <c r="M92" s="70"/>
      <c r="N92" s="70"/>
    </row>
    <row r="93" spans="11:14">
      <c r="K93" s="70"/>
      <c r="L93" s="70"/>
      <c r="M93" s="70"/>
      <c r="N93" s="70"/>
    </row>
    <row r="94" spans="11:14">
      <c r="K94" s="70"/>
      <c r="L94" s="70"/>
      <c r="M94" s="70"/>
      <c r="N94" s="70"/>
    </row>
    <row r="95" spans="11:14">
      <c r="K95" s="70"/>
      <c r="L95" s="70"/>
      <c r="M95" s="70"/>
      <c r="N95" s="70"/>
    </row>
    <row r="96" spans="11:14">
      <c r="K96" s="70"/>
      <c r="L96" s="70"/>
      <c r="M96" s="70"/>
      <c r="N96" s="70"/>
    </row>
    <row r="97" spans="11:14">
      <c r="K97" s="70"/>
      <c r="L97" s="70"/>
      <c r="M97" s="70"/>
      <c r="N97" s="70"/>
    </row>
    <row r="98" spans="11:14">
      <c r="K98" s="70"/>
      <c r="L98" s="70"/>
      <c r="M98" s="70"/>
      <c r="N98" s="70"/>
    </row>
    <row r="99" spans="11:14">
      <c r="K99" s="70"/>
      <c r="L99" s="70"/>
      <c r="M99" s="70"/>
      <c r="N99" s="70"/>
    </row>
    <row r="100" spans="11:14">
      <c r="K100" s="70"/>
      <c r="L100" s="70"/>
      <c r="M100" s="70"/>
      <c r="N100" s="70"/>
    </row>
    <row r="101" spans="11:14">
      <c r="K101" s="70"/>
      <c r="L101" s="70"/>
      <c r="M101" s="70"/>
      <c r="N101" s="70"/>
    </row>
    <row r="102" spans="11:14">
      <c r="K102" s="70"/>
      <c r="L102" s="70"/>
      <c r="M102" s="70"/>
      <c r="N102" s="70"/>
    </row>
    <row r="103" spans="11:14">
      <c r="K103" s="70"/>
      <c r="L103" s="70"/>
      <c r="M103" s="70"/>
      <c r="N103" s="70"/>
    </row>
    <row r="104" spans="11:14">
      <c r="K104" s="70"/>
      <c r="L104" s="70"/>
      <c r="M104" s="70"/>
      <c r="N104" s="70"/>
    </row>
    <row r="105" spans="11:14">
      <c r="K105" s="70"/>
      <c r="L105" s="70"/>
      <c r="M105" s="70"/>
      <c r="N105" s="70"/>
    </row>
    <row r="106" spans="11:14">
      <c r="K106" s="70"/>
      <c r="L106" s="70"/>
      <c r="M106" s="70"/>
      <c r="N106" s="70"/>
    </row>
    <row r="107" spans="11:14">
      <c r="K107" s="70"/>
      <c r="L107" s="70"/>
      <c r="M107" s="70"/>
      <c r="N107" s="70"/>
    </row>
    <row r="108" spans="11:14">
      <c r="K108" s="70"/>
      <c r="L108" s="70"/>
      <c r="M108" s="70"/>
      <c r="N108" s="70"/>
    </row>
    <row r="109" spans="11:14">
      <c r="K109" s="70"/>
      <c r="L109" s="70"/>
      <c r="M109" s="70"/>
      <c r="N109" s="70"/>
    </row>
    <row r="110" spans="11:14">
      <c r="K110" s="70"/>
      <c r="L110" s="70"/>
      <c r="M110" s="70"/>
      <c r="N110" s="70"/>
    </row>
    <row r="111" spans="11:14">
      <c r="K111" s="70"/>
      <c r="L111" s="70"/>
      <c r="M111" s="70"/>
      <c r="N111" s="70"/>
    </row>
    <row r="112" spans="11:14">
      <c r="K112" s="70"/>
      <c r="L112" s="70"/>
      <c r="M112" s="70"/>
      <c r="N112" s="70"/>
    </row>
    <row r="113" spans="11:14">
      <c r="K113" s="70"/>
      <c r="L113" s="70"/>
      <c r="M113" s="70"/>
      <c r="N113" s="70"/>
    </row>
    <row r="114" spans="11:14">
      <c r="K114" s="70"/>
      <c r="L114" s="70"/>
      <c r="M114" s="70"/>
      <c r="N114" s="70"/>
    </row>
    <row r="115" spans="11:14">
      <c r="K115" s="70"/>
      <c r="L115" s="70"/>
      <c r="M115" s="70"/>
      <c r="N115" s="70"/>
    </row>
    <row r="116" spans="11:14">
      <c r="K116" s="70"/>
      <c r="L116" s="70"/>
      <c r="M116" s="70"/>
      <c r="N116" s="70"/>
    </row>
    <row r="117" spans="11:14">
      <c r="K117" s="70"/>
      <c r="L117" s="70"/>
      <c r="M117" s="70"/>
      <c r="N117" s="70"/>
    </row>
    <row r="118" spans="11:14">
      <c r="K118" s="70"/>
      <c r="L118" s="70"/>
      <c r="M118" s="70"/>
      <c r="N118" s="70"/>
    </row>
    <row r="119" spans="11:14">
      <c r="K119" s="70"/>
      <c r="L119" s="70"/>
      <c r="M119" s="70"/>
      <c r="N119" s="70"/>
    </row>
    <row r="120" spans="11:14">
      <c r="K120" s="70"/>
      <c r="L120" s="70"/>
      <c r="M120" s="70"/>
      <c r="N120" s="70"/>
    </row>
    <row r="121" spans="11:14">
      <c r="K121" s="70"/>
      <c r="L121" s="70"/>
      <c r="M121" s="70"/>
      <c r="N121" s="70"/>
    </row>
    <row r="122" spans="11:14">
      <c r="K122" s="70"/>
      <c r="L122" s="70"/>
      <c r="M122" s="70"/>
      <c r="N122" s="70"/>
    </row>
    <row r="123" spans="11:14">
      <c r="K123" s="70"/>
      <c r="L123" s="70"/>
      <c r="M123" s="70"/>
      <c r="N123" s="70"/>
    </row>
    <row r="124" spans="11:14">
      <c r="K124" s="70"/>
      <c r="L124" s="70"/>
      <c r="M124" s="70"/>
      <c r="N124" s="70"/>
    </row>
    <row r="125" spans="11:14">
      <c r="K125" s="70"/>
      <c r="L125" s="70"/>
      <c r="M125" s="70"/>
      <c r="N125" s="70"/>
    </row>
    <row r="126" spans="11:14">
      <c r="K126" s="70"/>
      <c r="L126" s="70"/>
      <c r="M126" s="70"/>
      <c r="N126" s="70"/>
    </row>
    <row r="127" spans="11:14">
      <c r="K127" s="70"/>
      <c r="L127" s="70"/>
      <c r="M127" s="70"/>
      <c r="N127" s="70"/>
    </row>
    <row r="128" spans="11:14">
      <c r="K128" s="70"/>
      <c r="L128" s="70"/>
      <c r="M128" s="70"/>
      <c r="N128" s="70"/>
    </row>
    <row r="129" spans="11:14">
      <c r="K129" s="70"/>
      <c r="L129" s="70"/>
      <c r="M129" s="70"/>
      <c r="N129" s="70"/>
    </row>
    <row r="130" spans="11:14">
      <c r="K130" s="70"/>
      <c r="L130" s="70"/>
      <c r="M130" s="70"/>
      <c r="N130" s="70"/>
    </row>
    <row r="131" spans="11:14">
      <c r="K131" s="70"/>
      <c r="L131" s="70"/>
      <c r="M131" s="70"/>
      <c r="N131" s="70"/>
    </row>
    <row r="132" spans="11:14">
      <c r="K132" s="70"/>
      <c r="L132" s="70"/>
      <c r="M132" s="70"/>
      <c r="N132" s="70"/>
    </row>
    <row r="133" spans="11:14">
      <c r="K133" s="70"/>
      <c r="L133" s="70"/>
      <c r="M133" s="70"/>
      <c r="N133" s="70"/>
    </row>
    <row r="134" spans="11:14">
      <c r="K134" s="70"/>
      <c r="L134" s="70"/>
      <c r="M134" s="70"/>
      <c r="N134" s="70"/>
    </row>
    <row r="135" spans="11:14">
      <c r="K135" s="70"/>
      <c r="L135" s="70"/>
      <c r="M135" s="70"/>
      <c r="N135" s="70"/>
    </row>
    <row r="136" spans="11:14">
      <c r="K136" s="70"/>
      <c r="L136" s="70"/>
      <c r="M136" s="70"/>
      <c r="N136" s="70"/>
    </row>
    <row r="137" spans="11:14">
      <c r="K137" s="70"/>
      <c r="L137" s="70"/>
      <c r="M137" s="70"/>
      <c r="N137" s="70"/>
    </row>
    <row r="138" spans="11:14">
      <c r="K138" s="70"/>
      <c r="L138" s="70"/>
      <c r="M138" s="70"/>
      <c r="N138" s="70"/>
    </row>
    <row r="139" spans="11:14">
      <c r="K139" s="70"/>
      <c r="L139" s="70"/>
      <c r="M139" s="70"/>
      <c r="N139" s="70"/>
    </row>
    <row r="140" spans="11:14">
      <c r="K140" s="70"/>
      <c r="L140" s="70"/>
      <c r="M140" s="70"/>
      <c r="N140" s="70"/>
    </row>
    <row r="141" spans="11:14">
      <c r="K141" s="70"/>
      <c r="L141" s="70"/>
      <c r="M141" s="70"/>
      <c r="N141" s="70"/>
    </row>
    <row r="142" spans="11:14">
      <c r="K142" s="70"/>
      <c r="L142" s="70"/>
      <c r="M142" s="70"/>
      <c r="N142" s="70"/>
    </row>
    <row r="143" spans="11:14">
      <c r="K143" s="70"/>
      <c r="L143" s="70"/>
      <c r="M143" s="70"/>
      <c r="N143" s="70"/>
    </row>
    <row r="144" spans="11:14">
      <c r="K144" s="70"/>
      <c r="L144" s="70"/>
      <c r="M144" s="70"/>
      <c r="N144" s="70"/>
    </row>
    <row r="145" spans="11:14">
      <c r="K145" s="70"/>
      <c r="L145" s="70"/>
      <c r="M145" s="70"/>
      <c r="N145" s="70"/>
    </row>
    <row r="146" spans="11:14">
      <c r="K146" s="70"/>
      <c r="L146" s="70"/>
      <c r="M146" s="70"/>
      <c r="N146" s="70"/>
    </row>
    <row r="147" spans="11:14">
      <c r="K147" s="70"/>
      <c r="L147" s="70"/>
      <c r="M147" s="70"/>
      <c r="N147" s="70"/>
    </row>
    <row r="148" spans="11:14">
      <c r="K148" s="70"/>
      <c r="L148" s="70"/>
      <c r="M148" s="70"/>
      <c r="N148" s="70"/>
    </row>
    <row r="149" spans="11:14">
      <c r="K149" s="70"/>
      <c r="L149" s="70"/>
      <c r="M149" s="70"/>
      <c r="N149" s="70"/>
    </row>
    <row r="150" spans="11:14">
      <c r="K150" s="70"/>
      <c r="L150" s="70"/>
      <c r="M150" s="70"/>
      <c r="N150" s="70"/>
    </row>
    <row r="151" spans="11:14">
      <c r="K151" s="70"/>
      <c r="L151" s="70"/>
      <c r="M151" s="70"/>
      <c r="N151" s="70"/>
    </row>
    <row r="152" spans="11:14">
      <c r="K152" s="70"/>
      <c r="L152" s="70"/>
      <c r="M152" s="70"/>
      <c r="N152" s="70"/>
    </row>
    <row r="153" spans="11:14">
      <c r="K153" s="70"/>
      <c r="L153" s="70"/>
      <c r="M153" s="70"/>
      <c r="N153" s="70"/>
    </row>
    <row r="154" spans="11:14">
      <c r="K154" s="70"/>
      <c r="L154" s="70"/>
      <c r="M154" s="70"/>
      <c r="N154" s="70"/>
    </row>
    <row r="155" spans="11:14">
      <c r="K155" s="70"/>
      <c r="L155" s="70"/>
      <c r="M155" s="70"/>
      <c r="N155" s="70"/>
    </row>
    <row r="156" spans="11:14">
      <c r="K156" s="70"/>
      <c r="L156" s="70"/>
      <c r="M156" s="70"/>
      <c r="N156" s="70"/>
    </row>
    <row r="157" spans="11:14">
      <c r="K157" s="70"/>
      <c r="L157" s="70"/>
      <c r="M157" s="70"/>
      <c r="N157" s="70"/>
    </row>
    <row r="158" spans="11:14">
      <c r="K158" s="70"/>
      <c r="L158" s="70"/>
      <c r="M158" s="70"/>
      <c r="N158" s="70"/>
    </row>
    <row r="159" spans="11:14">
      <c r="K159" s="70"/>
      <c r="L159" s="70"/>
      <c r="M159" s="70"/>
      <c r="N159" s="70"/>
    </row>
    <row r="160" spans="11:14">
      <c r="K160" s="70"/>
      <c r="L160" s="70"/>
      <c r="M160" s="70"/>
      <c r="N160" s="70"/>
    </row>
    <row r="161" spans="11:14">
      <c r="K161" s="70"/>
      <c r="L161" s="70"/>
      <c r="M161" s="70"/>
      <c r="N161" s="70"/>
    </row>
    <row r="162" spans="11:14">
      <c r="K162" s="70"/>
      <c r="L162" s="70"/>
      <c r="M162" s="70"/>
      <c r="N162" s="70"/>
    </row>
    <row r="163" spans="11:14">
      <c r="K163" s="70"/>
      <c r="L163" s="70"/>
      <c r="M163" s="70"/>
      <c r="N163" s="70"/>
    </row>
    <row r="164" spans="11:14">
      <c r="K164" s="70"/>
      <c r="L164" s="70"/>
      <c r="M164" s="70"/>
      <c r="N164" s="70"/>
    </row>
    <row r="165" spans="11:14">
      <c r="K165" s="70"/>
      <c r="L165" s="70"/>
      <c r="M165" s="70"/>
      <c r="N165" s="70"/>
    </row>
    <row r="166" spans="11:14">
      <c r="K166" s="70"/>
      <c r="L166" s="70"/>
      <c r="M166" s="70"/>
      <c r="N166" s="70"/>
    </row>
    <row r="167" spans="11:14">
      <c r="K167" s="70"/>
      <c r="L167" s="70"/>
      <c r="M167" s="70"/>
      <c r="N167" s="70"/>
    </row>
    <row r="168" spans="11:14">
      <c r="K168" s="70"/>
      <c r="L168" s="70"/>
      <c r="M168" s="70"/>
      <c r="N168" s="70"/>
    </row>
    <row r="169" spans="11:14">
      <c r="K169" s="70"/>
      <c r="L169" s="70"/>
      <c r="M169" s="70"/>
      <c r="N169" s="70"/>
    </row>
    <row r="170" spans="11:14">
      <c r="K170" s="70"/>
      <c r="L170" s="70"/>
      <c r="M170" s="70"/>
      <c r="N170" s="70"/>
    </row>
    <row r="171" spans="11:14">
      <c r="K171" s="70"/>
      <c r="L171" s="70"/>
      <c r="M171" s="70"/>
      <c r="N171" s="70"/>
    </row>
    <row r="172" spans="11:14">
      <c r="K172" s="70"/>
      <c r="L172" s="70"/>
      <c r="M172" s="70"/>
      <c r="N172" s="70"/>
    </row>
    <row r="173" spans="11:14">
      <c r="K173" s="70"/>
      <c r="L173" s="70"/>
      <c r="M173" s="70"/>
      <c r="N173" s="70"/>
    </row>
    <row r="174" spans="11:14">
      <c r="K174" s="70"/>
      <c r="L174" s="70"/>
      <c r="M174" s="70"/>
      <c r="N174" s="70"/>
    </row>
    <row r="175" spans="11:14">
      <c r="K175" s="70"/>
      <c r="L175" s="70"/>
      <c r="M175" s="70"/>
      <c r="N175" s="70"/>
    </row>
    <row r="176" spans="11:14">
      <c r="K176" s="70"/>
      <c r="L176" s="70"/>
      <c r="M176" s="70"/>
      <c r="N176" s="70"/>
    </row>
    <row r="177" spans="11:14">
      <c r="K177" s="70"/>
      <c r="L177" s="70"/>
      <c r="M177" s="70"/>
      <c r="N177" s="70"/>
    </row>
    <row r="178" spans="11:14">
      <c r="K178" s="70"/>
      <c r="L178" s="70"/>
      <c r="M178" s="70"/>
      <c r="N178" s="70"/>
    </row>
    <row r="179" spans="11:14">
      <c r="K179" s="70"/>
      <c r="L179" s="70"/>
      <c r="M179" s="70"/>
      <c r="N179" s="70"/>
    </row>
    <row r="180" spans="11:14">
      <c r="K180" s="70"/>
      <c r="L180" s="70"/>
      <c r="M180" s="70"/>
      <c r="N180" s="70"/>
    </row>
    <row r="181" spans="11:14">
      <c r="K181" s="70"/>
      <c r="L181" s="70"/>
      <c r="M181" s="70"/>
      <c r="N181" s="70"/>
    </row>
    <row r="182" spans="11:14">
      <c r="K182" s="70"/>
      <c r="L182" s="70"/>
      <c r="M182" s="70"/>
      <c r="N182" s="70"/>
    </row>
    <row r="183" spans="11:14">
      <c r="K183" s="70"/>
      <c r="L183" s="70"/>
      <c r="M183" s="70"/>
      <c r="N183" s="70"/>
    </row>
    <row r="184" spans="11:14">
      <c r="K184" s="70"/>
      <c r="L184" s="70"/>
      <c r="M184" s="70"/>
      <c r="N184" s="70"/>
    </row>
    <row r="185" spans="11:14">
      <c r="K185" s="70"/>
      <c r="L185" s="70"/>
      <c r="M185" s="70"/>
      <c r="N185" s="70"/>
    </row>
    <row r="186" spans="11:14">
      <c r="K186" s="70"/>
      <c r="L186" s="70"/>
      <c r="M186" s="70"/>
      <c r="N186" s="70"/>
    </row>
    <row r="187" spans="11:14">
      <c r="K187" s="70"/>
      <c r="L187" s="70"/>
      <c r="M187" s="70"/>
      <c r="N187" s="70"/>
    </row>
    <row r="188" spans="11:14">
      <c r="K188" s="70"/>
      <c r="L188" s="70"/>
      <c r="M188" s="70"/>
      <c r="N188" s="70"/>
    </row>
    <row r="189" spans="11:14">
      <c r="K189" s="70"/>
      <c r="L189" s="70"/>
      <c r="M189" s="70"/>
      <c r="N189" s="70"/>
    </row>
    <row r="190" spans="11:14">
      <c r="K190" s="70"/>
      <c r="L190" s="70"/>
      <c r="M190" s="70"/>
      <c r="N190" s="70"/>
    </row>
    <row r="191" spans="11:14">
      <c r="K191" s="70"/>
      <c r="L191" s="70"/>
      <c r="M191" s="70"/>
      <c r="N191" s="70"/>
    </row>
    <row r="192" spans="11:14">
      <c r="K192" s="70"/>
      <c r="L192" s="70"/>
      <c r="M192" s="70"/>
      <c r="N192" s="70"/>
    </row>
    <row r="193" spans="11:14">
      <c r="K193" s="70"/>
      <c r="L193" s="70"/>
      <c r="M193" s="70"/>
      <c r="N193" s="70"/>
    </row>
    <row r="194" spans="11:14">
      <c r="K194" s="70"/>
      <c r="L194" s="70"/>
      <c r="M194" s="70"/>
      <c r="N194" s="70"/>
    </row>
    <row r="195" spans="11:14">
      <c r="K195" s="70"/>
      <c r="L195" s="70"/>
      <c r="M195" s="70"/>
      <c r="N195" s="70"/>
    </row>
    <row r="196" spans="11:14">
      <c r="K196" s="70"/>
      <c r="L196" s="70"/>
      <c r="M196" s="70"/>
      <c r="N196" s="70"/>
    </row>
    <row r="197" spans="11:14">
      <c r="K197" s="70"/>
      <c r="L197" s="70"/>
      <c r="M197" s="70"/>
      <c r="N197" s="70"/>
    </row>
    <row r="198" spans="11:14">
      <c r="K198" s="70"/>
      <c r="L198" s="70"/>
      <c r="M198" s="70"/>
      <c r="N198" s="70"/>
    </row>
    <row r="199" spans="11:14">
      <c r="K199" s="70"/>
      <c r="L199" s="70"/>
      <c r="M199" s="70"/>
      <c r="N199" s="70"/>
    </row>
    <row r="200" spans="11:14">
      <c r="K200" s="70"/>
      <c r="L200" s="70"/>
      <c r="M200" s="70"/>
      <c r="N200" s="70"/>
    </row>
    <row r="201" spans="11:14">
      <c r="K201" s="70"/>
      <c r="L201" s="70"/>
      <c r="M201" s="70"/>
      <c r="N201" s="70"/>
    </row>
    <row r="202" spans="11:14">
      <c r="K202" s="70"/>
      <c r="L202" s="70"/>
      <c r="M202" s="70"/>
      <c r="N202" s="70"/>
    </row>
    <row r="203" spans="11:14">
      <c r="K203" s="70"/>
      <c r="L203" s="70"/>
      <c r="M203" s="70"/>
      <c r="N203" s="70"/>
    </row>
    <row r="204" spans="11:14">
      <c r="K204" s="70"/>
      <c r="L204" s="70"/>
      <c r="M204" s="70"/>
      <c r="N204" s="70"/>
    </row>
    <row r="205" spans="11:14">
      <c r="K205" s="70"/>
      <c r="L205" s="70"/>
      <c r="M205" s="70"/>
      <c r="N205" s="70"/>
    </row>
    <row r="206" spans="11:14">
      <c r="K206" s="70"/>
      <c r="L206" s="70"/>
      <c r="M206" s="70"/>
      <c r="N206" s="70"/>
    </row>
    <row r="207" spans="11:14">
      <c r="K207" s="70"/>
      <c r="L207" s="70"/>
      <c r="M207" s="70"/>
      <c r="N207" s="70"/>
    </row>
    <row r="208" spans="11:14">
      <c r="K208" s="70"/>
      <c r="L208" s="70"/>
      <c r="M208" s="70"/>
      <c r="N208" s="70"/>
    </row>
    <row r="209" spans="11:14">
      <c r="K209" s="70"/>
      <c r="L209" s="70"/>
      <c r="M209" s="70"/>
      <c r="N209" s="70"/>
    </row>
    <row r="210" spans="11:14">
      <c r="K210" s="70"/>
      <c r="L210" s="70"/>
      <c r="M210" s="70"/>
      <c r="N210" s="70"/>
    </row>
    <row r="211" spans="11:14">
      <c r="K211" s="70"/>
      <c r="L211" s="70"/>
      <c r="M211" s="70"/>
      <c r="N211" s="70"/>
    </row>
    <row r="212" spans="11:14">
      <c r="K212" s="70"/>
      <c r="L212" s="70"/>
      <c r="M212" s="70"/>
      <c r="N212" s="70"/>
    </row>
    <row r="213" spans="11:14">
      <c r="K213" s="70"/>
      <c r="L213" s="70"/>
      <c r="M213" s="70"/>
      <c r="N213" s="70"/>
    </row>
    <row r="214" spans="11:14">
      <c r="K214" s="70"/>
      <c r="L214" s="70"/>
      <c r="M214" s="70"/>
      <c r="N214" s="70"/>
    </row>
    <row r="215" spans="11:14">
      <c r="K215" s="70"/>
      <c r="L215" s="70"/>
      <c r="M215" s="70"/>
      <c r="N215" s="70"/>
    </row>
    <row r="216" spans="11:14">
      <c r="K216" s="70"/>
      <c r="L216" s="70"/>
      <c r="M216" s="70"/>
      <c r="N216" s="70"/>
    </row>
    <row r="217" spans="11:14">
      <c r="K217" s="70"/>
      <c r="L217" s="70"/>
      <c r="M217" s="70"/>
      <c r="N217" s="70"/>
    </row>
    <row r="218" spans="11:14">
      <c r="K218" s="70"/>
      <c r="L218" s="70"/>
      <c r="M218" s="70"/>
      <c r="N218" s="70"/>
    </row>
    <row r="219" spans="11:14">
      <c r="K219" s="70"/>
      <c r="L219" s="70"/>
      <c r="M219" s="70"/>
      <c r="N219" s="70"/>
    </row>
    <row r="220" spans="11:14">
      <c r="K220" s="70"/>
      <c r="L220" s="70"/>
      <c r="M220" s="70"/>
      <c r="N220" s="70"/>
    </row>
    <row r="221" spans="11:14">
      <c r="K221" s="70"/>
      <c r="L221" s="70"/>
      <c r="M221" s="70"/>
      <c r="N221" s="70"/>
    </row>
    <row r="222" spans="11:14">
      <c r="K222" s="70"/>
      <c r="L222" s="70"/>
      <c r="M222" s="70"/>
      <c r="N222" s="70"/>
    </row>
    <row r="223" spans="11:14">
      <c r="K223" s="70"/>
      <c r="L223" s="70"/>
      <c r="M223" s="70"/>
      <c r="N223" s="70"/>
    </row>
    <row r="224" spans="11:14">
      <c r="K224" s="70"/>
      <c r="L224" s="70"/>
      <c r="M224" s="70"/>
      <c r="N224" s="70"/>
    </row>
    <row r="225" spans="11:14">
      <c r="K225" s="70"/>
      <c r="L225" s="70"/>
      <c r="M225" s="70"/>
      <c r="N225" s="70"/>
    </row>
    <row r="226" spans="11:14">
      <c r="K226" s="70"/>
      <c r="L226" s="70"/>
      <c r="M226" s="70"/>
      <c r="N226" s="70"/>
    </row>
    <row r="227" spans="11:14">
      <c r="K227" s="70"/>
      <c r="L227" s="70"/>
      <c r="M227" s="70"/>
      <c r="N227" s="70"/>
    </row>
    <row r="228" spans="11:14">
      <c r="K228" s="70"/>
      <c r="L228" s="70"/>
      <c r="M228" s="70"/>
      <c r="N228" s="70"/>
    </row>
    <row r="229" spans="11:14">
      <c r="K229" s="70"/>
      <c r="L229" s="70"/>
      <c r="M229" s="70"/>
      <c r="N229" s="70"/>
    </row>
    <row r="230" spans="11:14">
      <c r="K230" s="70"/>
      <c r="L230" s="70"/>
      <c r="M230" s="70"/>
      <c r="N230" s="70"/>
    </row>
    <row r="231" spans="11:14">
      <c r="K231" s="70"/>
      <c r="L231" s="70"/>
      <c r="M231" s="70"/>
      <c r="N231" s="70"/>
    </row>
    <row r="232" spans="11:14">
      <c r="K232" s="70"/>
      <c r="L232" s="70"/>
      <c r="M232" s="70"/>
      <c r="N232" s="70"/>
    </row>
    <row r="233" spans="11:14">
      <c r="K233" s="70"/>
      <c r="L233" s="70"/>
      <c r="M233" s="70"/>
      <c r="N233" s="70"/>
    </row>
    <row r="234" spans="11:14">
      <c r="K234" s="70"/>
      <c r="L234" s="70"/>
      <c r="M234" s="70"/>
      <c r="N234" s="70"/>
    </row>
    <row r="235" spans="11:14">
      <c r="K235" s="70"/>
      <c r="L235" s="70"/>
      <c r="M235" s="70"/>
      <c r="N235" s="70"/>
    </row>
    <row r="236" spans="11:14">
      <c r="K236" s="70"/>
      <c r="L236" s="70"/>
      <c r="M236" s="70"/>
      <c r="N236" s="70"/>
    </row>
    <row r="237" spans="11:14">
      <c r="K237" s="70"/>
      <c r="L237" s="70"/>
      <c r="M237" s="70"/>
      <c r="N237" s="70"/>
    </row>
    <row r="238" spans="11:14">
      <c r="K238" s="70"/>
      <c r="L238" s="70"/>
      <c r="M238" s="70"/>
      <c r="N238" s="70"/>
    </row>
    <row r="239" spans="11:14">
      <c r="K239" s="70"/>
      <c r="L239" s="70"/>
      <c r="M239" s="70"/>
      <c r="N239" s="70"/>
    </row>
    <row r="240" spans="11:14">
      <c r="K240" s="70"/>
      <c r="L240" s="70"/>
      <c r="M240" s="70"/>
      <c r="N240" s="70"/>
    </row>
    <row r="241" spans="11:14">
      <c r="K241" s="70"/>
      <c r="L241" s="70"/>
      <c r="M241" s="70"/>
      <c r="N241" s="70"/>
    </row>
    <row r="242" spans="11:14">
      <c r="K242" s="70"/>
      <c r="L242" s="70"/>
      <c r="M242" s="70"/>
      <c r="N242" s="70"/>
    </row>
    <row r="243" spans="11:14">
      <c r="K243" s="70"/>
      <c r="L243" s="70"/>
      <c r="M243" s="70"/>
      <c r="N243" s="70"/>
    </row>
    <row r="244" spans="11:14">
      <c r="K244" s="70"/>
      <c r="L244" s="70"/>
      <c r="M244" s="70"/>
      <c r="N244" s="70"/>
    </row>
    <row r="245" spans="11:14">
      <c r="K245" s="70"/>
      <c r="L245" s="70"/>
      <c r="M245" s="70"/>
      <c r="N245" s="70"/>
    </row>
    <row r="246" spans="11:14">
      <c r="K246" s="70"/>
      <c r="L246" s="70"/>
      <c r="M246" s="70"/>
      <c r="N246" s="70"/>
    </row>
    <row r="247" spans="11:14">
      <c r="K247" s="70"/>
      <c r="L247" s="70"/>
      <c r="M247" s="70"/>
      <c r="N247" s="70"/>
    </row>
    <row r="248" spans="11:14">
      <c r="K248" s="70"/>
      <c r="L248" s="70"/>
      <c r="M248" s="70"/>
      <c r="N248" s="70"/>
    </row>
    <row r="249" spans="11:14">
      <c r="K249" s="70"/>
      <c r="L249" s="70"/>
      <c r="M249" s="70"/>
      <c r="N249" s="70"/>
    </row>
    <row r="250" spans="11:14">
      <c r="K250" s="70"/>
      <c r="L250" s="70"/>
      <c r="M250" s="70"/>
      <c r="N250" s="70"/>
    </row>
    <row r="251" spans="11:14">
      <c r="K251" s="70"/>
      <c r="L251" s="70"/>
      <c r="M251" s="70"/>
      <c r="N251" s="70"/>
    </row>
    <row r="252" spans="11:14">
      <c r="K252" s="70"/>
      <c r="L252" s="70"/>
      <c r="M252" s="70"/>
      <c r="N252" s="70"/>
    </row>
    <row r="253" spans="11:14">
      <c r="K253" s="70"/>
      <c r="L253" s="70"/>
      <c r="M253" s="70"/>
      <c r="N253" s="70"/>
    </row>
    <row r="254" spans="11:14">
      <c r="K254" s="70"/>
      <c r="L254" s="70"/>
      <c r="M254" s="70"/>
      <c r="N254" s="70"/>
    </row>
    <row r="255" spans="11:14">
      <c r="K255" s="70"/>
      <c r="L255" s="70"/>
      <c r="M255" s="70"/>
      <c r="N255" s="70"/>
    </row>
    <row r="256" spans="11:14">
      <c r="K256" s="70"/>
      <c r="L256" s="70"/>
      <c r="M256" s="70"/>
      <c r="N256" s="70"/>
    </row>
    <row r="257" spans="11:14">
      <c r="K257" s="70"/>
      <c r="L257" s="70"/>
      <c r="M257" s="70"/>
      <c r="N257" s="70"/>
    </row>
    <row r="258" spans="11:14">
      <c r="K258" s="70"/>
      <c r="L258" s="70"/>
      <c r="M258" s="70"/>
      <c r="N258" s="70"/>
    </row>
    <row r="259" spans="11:14">
      <c r="K259" s="70"/>
      <c r="L259" s="70"/>
      <c r="M259" s="70"/>
      <c r="N259" s="70"/>
    </row>
    <row r="260" spans="11:14">
      <c r="K260" s="70"/>
      <c r="L260" s="70"/>
      <c r="M260" s="70"/>
      <c r="N260" s="70"/>
    </row>
    <row r="261" spans="11:14">
      <c r="K261" s="70"/>
      <c r="L261" s="70"/>
      <c r="M261" s="70"/>
      <c r="N261" s="70"/>
    </row>
    <row r="262" spans="11:14">
      <c r="K262" s="70"/>
      <c r="L262" s="70"/>
      <c r="M262" s="70"/>
      <c r="N262" s="70"/>
    </row>
    <row r="263" spans="11:14">
      <c r="K263" s="70"/>
      <c r="L263" s="70"/>
      <c r="M263" s="70"/>
      <c r="N263" s="70"/>
    </row>
    <row r="264" spans="11:14">
      <c r="K264" s="70"/>
      <c r="L264" s="70"/>
      <c r="M264" s="70"/>
      <c r="N264" s="70"/>
    </row>
    <row r="265" spans="11:14">
      <c r="K265" s="70"/>
      <c r="L265" s="70"/>
      <c r="M265" s="70"/>
      <c r="N265" s="70"/>
    </row>
    <row r="266" spans="11:14">
      <c r="K266" s="70"/>
      <c r="L266" s="70"/>
      <c r="M266" s="70"/>
      <c r="N266" s="70"/>
    </row>
    <row r="267" spans="11:14">
      <c r="K267" s="70"/>
      <c r="L267" s="70"/>
      <c r="M267" s="70"/>
      <c r="N267" s="70"/>
    </row>
    <row r="268" spans="11:14">
      <c r="K268" s="70"/>
      <c r="L268" s="70"/>
      <c r="M268" s="70"/>
      <c r="N268" s="70"/>
    </row>
    <row r="269" spans="11:14">
      <c r="K269" s="70"/>
      <c r="L269" s="70"/>
      <c r="M269" s="70"/>
      <c r="N269" s="70"/>
    </row>
    <row r="270" spans="11:14">
      <c r="K270" s="70"/>
      <c r="L270" s="70"/>
      <c r="M270" s="70"/>
      <c r="N270" s="70"/>
    </row>
    <row r="271" spans="11:14">
      <c r="K271" s="70"/>
      <c r="L271" s="70"/>
      <c r="M271" s="70"/>
      <c r="N271" s="70"/>
    </row>
    <row r="272" spans="11:14">
      <c r="K272" s="70"/>
      <c r="L272" s="70"/>
      <c r="M272" s="70"/>
      <c r="N272" s="70"/>
    </row>
    <row r="273" spans="11:14">
      <c r="K273" s="70"/>
      <c r="L273" s="70"/>
      <c r="M273" s="70"/>
      <c r="N273" s="70"/>
    </row>
    <row r="274" spans="11:14">
      <c r="K274" s="70"/>
      <c r="L274" s="70"/>
      <c r="M274" s="70"/>
      <c r="N274" s="70"/>
    </row>
    <row r="275" spans="11:14">
      <c r="K275" s="70"/>
      <c r="L275" s="70"/>
      <c r="M275" s="70"/>
      <c r="N275" s="70"/>
    </row>
    <row r="276" spans="11:14">
      <c r="K276" s="70"/>
      <c r="L276" s="70"/>
      <c r="M276" s="70"/>
      <c r="N276" s="70"/>
    </row>
    <row r="277" spans="11:14">
      <c r="K277" s="70"/>
      <c r="L277" s="70"/>
      <c r="M277" s="70"/>
      <c r="N277" s="70"/>
    </row>
    <row r="278" spans="11:14">
      <c r="K278" s="70"/>
      <c r="L278" s="70"/>
      <c r="M278" s="70"/>
      <c r="N278" s="70"/>
    </row>
    <row r="279" spans="11:14">
      <c r="K279" s="70"/>
      <c r="L279" s="70"/>
      <c r="M279" s="70"/>
      <c r="N279" s="70"/>
    </row>
    <row r="280" spans="11:14">
      <c r="K280" s="70"/>
      <c r="L280" s="70"/>
      <c r="M280" s="70"/>
      <c r="N280" s="70"/>
    </row>
    <row r="281" spans="11:14">
      <c r="K281" s="70"/>
      <c r="L281" s="70"/>
      <c r="M281" s="70"/>
      <c r="N281" s="70"/>
    </row>
    <row r="282" spans="11:14">
      <c r="K282" s="70"/>
      <c r="L282" s="70"/>
      <c r="M282" s="70"/>
      <c r="N282" s="70"/>
    </row>
    <row r="283" spans="11:14">
      <c r="K283" s="70"/>
      <c r="L283" s="70"/>
      <c r="M283" s="70"/>
      <c r="N283" s="70"/>
    </row>
    <row r="284" spans="11:14">
      <c r="K284" s="70"/>
      <c r="L284" s="70"/>
      <c r="M284" s="70"/>
      <c r="N284" s="70"/>
    </row>
    <row r="285" spans="11:14">
      <c r="K285" s="70"/>
      <c r="L285" s="70"/>
      <c r="M285" s="70"/>
      <c r="N285" s="70"/>
    </row>
    <row r="286" spans="11:14">
      <c r="K286" s="70"/>
      <c r="L286" s="70"/>
      <c r="M286" s="70"/>
      <c r="N286" s="70"/>
    </row>
    <row r="287" spans="11:14">
      <c r="K287" s="70"/>
      <c r="L287" s="70"/>
      <c r="M287" s="70"/>
      <c r="N287" s="70"/>
    </row>
    <row r="288" spans="11:14">
      <c r="K288" s="70"/>
      <c r="L288" s="70"/>
      <c r="M288" s="70"/>
      <c r="N288" s="70"/>
    </row>
    <row r="289" spans="11:14">
      <c r="K289" s="70"/>
      <c r="L289" s="70"/>
      <c r="M289" s="70"/>
      <c r="N289" s="70"/>
    </row>
    <row r="290" spans="11:14">
      <c r="K290" s="70"/>
      <c r="L290" s="70"/>
      <c r="M290" s="70"/>
      <c r="N290" s="70"/>
    </row>
    <row r="291" spans="11:14">
      <c r="K291" s="70"/>
      <c r="L291" s="70"/>
      <c r="M291" s="70"/>
      <c r="N291" s="70"/>
    </row>
    <row r="292" spans="11:14">
      <c r="K292" s="70"/>
      <c r="L292" s="70"/>
      <c r="M292" s="70"/>
      <c r="N292" s="70"/>
    </row>
    <row r="293" spans="11:14">
      <c r="K293" s="70"/>
      <c r="L293" s="70"/>
      <c r="M293" s="70"/>
      <c r="N293" s="70"/>
    </row>
    <row r="294" spans="11:14">
      <c r="K294" s="70"/>
      <c r="L294" s="70"/>
      <c r="M294" s="70"/>
      <c r="N294" s="70"/>
    </row>
    <row r="295" spans="11:14">
      <c r="K295" s="70"/>
      <c r="L295" s="70"/>
      <c r="M295" s="70"/>
      <c r="N295" s="70"/>
    </row>
    <row r="296" spans="11:14">
      <c r="K296" s="70"/>
      <c r="L296" s="70"/>
      <c r="M296" s="70"/>
      <c r="N296" s="70"/>
    </row>
    <row r="297" spans="11:14">
      <c r="K297" s="70"/>
      <c r="L297" s="70"/>
      <c r="M297" s="70"/>
      <c r="N297" s="70"/>
    </row>
    <row r="298" spans="11:14">
      <c r="K298" s="70"/>
      <c r="L298" s="70"/>
      <c r="M298" s="70"/>
      <c r="N298" s="70"/>
    </row>
    <row r="299" spans="11:14">
      <c r="K299" s="70"/>
      <c r="L299" s="70"/>
      <c r="M299" s="70"/>
      <c r="N299" s="70"/>
    </row>
    <row r="300" spans="11:14">
      <c r="K300" s="70"/>
      <c r="L300" s="70"/>
      <c r="M300" s="70"/>
      <c r="N300" s="70"/>
    </row>
    <row r="301" spans="11:14">
      <c r="K301" s="70"/>
      <c r="L301" s="70"/>
      <c r="M301" s="70"/>
      <c r="N301" s="70"/>
    </row>
    <row r="302" spans="11:14">
      <c r="K302" s="70"/>
      <c r="L302" s="70"/>
      <c r="M302" s="70"/>
      <c r="N302" s="70"/>
    </row>
    <row r="303" spans="11:14">
      <c r="K303" s="70"/>
      <c r="L303" s="70"/>
      <c r="M303" s="70"/>
      <c r="N303" s="70"/>
    </row>
    <row r="304" spans="11:14">
      <c r="K304" s="70"/>
      <c r="L304" s="70"/>
      <c r="M304" s="70"/>
      <c r="N304" s="70"/>
    </row>
    <row r="305" spans="11:14">
      <c r="K305" s="70"/>
      <c r="L305" s="70"/>
      <c r="M305" s="70"/>
      <c r="N305" s="70"/>
    </row>
    <row r="306" spans="11:14">
      <c r="K306" s="70"/>
      <c r="L306" s="70"/>
      <c r="M306" s="70"/>
      <c r="N306" s="70"/>
    </row>
    <row r="307" spans="11:14">
      <c r="K307" s="70"/>
      <c r="L307" s="70"/>
      <c r="M307" s="70"/>
      <c r="N307" s="70"/>
    </row>
    <row r="308" spans="11:14">
      <c r="K308" s="70"/>
      <c r="L308" s="70"/>
      <c r="M308" s="70"/>
      <c r="N308" s="70"/>
    </row>
    <row r="309" spans="11:14">
      <c r="K309" s="70"/>
      <c r="L309" s="70"/>
      <c r="M309" s="70"/>
      <c r="N309" s="70"/>
    </row>
    <row r="310" spans="11:14">
      <c r="K310" s="70"/>
      <c r="L310" s="70"/>
      <c r="M310" s="70"/>
      <c r="N310" s="70"/>
    </row>
    <row r="311" spans="11:14">
      <c r="K311" s="70"/>
      <c r="L311" s="70"/>
      <c r="M311" s="70"/>
      <c r="N311" s="70"/>
    </row>
    <row r="312" spans="11:14">
      <c r="K312" s="70"/>
      <c r="L312" s="70"/>
      <c r="M312" s="70"/>
      <c r="N312" s="70"/>
    </row>
    <row r="313" spans="11:14">
      <c r="K313" s="70"/>
      <c r="L313" s="70"/>
      <c r="M313" s="70"/>
      <c r="N313" s="70"/>
    </row>
    <row r="314" spans="11:14">
      <c r="K314" s="70"/>
      <c r="L314" s="70"/>
      <c r="M314" s="70"/>
      <c r="N314" s="70"/>
    </row>
    <row r="315" spans="11:14">
      <c r="K315" s="70"/>
      <c r="L315" s="70"/>
      <c r="M315" s="70"/>
      <c r="N315" s="70"/>
    </row>
    <row r="316" spans="11:14">
      <c r="K316" s="70"/>
      <c r="L316" s="70"/>
      <c r="M316" s="70"/>
      <c r="N316" s="70"/>
    </row>
    <row r="317" spans="11:14">
      <c r="K317" s="70"/>
      <c r="L317" s="70"/>
      <c r="M317" s="70"/>
      <c r="N317" s="70"/>
    </row>
    <row r="318" spans="11:14">
      <c r="K318" s="70"/>
      <c r="L318" s="70"/>
      <c r="M318" s="70"/>
      <c r="N318" s="70"/>
    </row>
    <row r="319" spans="11:14">
      <c r="K319" s="70"/>
      <c r="L319" s="70"/>
      <c r="M319" s="70"/>
      <c r="N319" s="70"/>
    </row>
    <row r="320" spans="11:14">
      <c r="K320" s="70"/>
      <c r="L320" s="70"/>
      <c r="M320" s="70"/>
      <c r="N320" s="70"/>
    </row>
    <row r="321" spans="11:14">
      <c r="K321" s="70"/>
      <c r="L321" s="70"/>
      <c r="M321" s="70"/>
      <c r="N321" s="70"/>
    </row>
    <row r="322" spans="11:14">
      <c r="K322" s="70"/>
      <c r="L322" s="70"/>
      <c r="M322" s="70"/>
      <c r="N322" s="70"/>
    </row>
    <row r="323" spans="11:14">
      <c r="K323" s="70"/>
      <c r="L323" s="70"/>
      <c r="M323" s="70"/>
      <c r="N323" s="70"/>
    </row>
    <row r="324" spans="11:14">
      <c r="K324" s="70"/>
      <c r="L324" s="70"/>
      <c r="M324" s="70"/>
      <c r="N324" s="70"/>
    </row>
    <row r="325" spans="11:14">
      <c r="K325" s="70"/>
      <c r="L325" s="70"/>
      <c r="M325" s="70"/>
      <c r="N325" s="70"/>
    </row>
    <row r="326" spans="11:14">
      <c r="K326" s="70"/>
      <c r="L326" s="70"/>
      <c r="M326" s="70"/>
      <c r="N326" s="70"/>
    </row>
    <row r="327" spans="11:14">
      <c r="K327" s="70"/>
      <c r="L327" s="70"/>
      <c r="M327" s="70"/>
      <c r="N327" s="70"/>
    </row>
    <row r="328" spans="11:14">
      <c r="K328" s="70"/>
      <c r="L328" s="70"/>
      <c r="M328" s="70"/>
      <c r="N328" s="70"/>
    </row>
    <row r="329" spans="11:14">
      <c r="K329" s="70"/>
      <c r="L329" s="70"/>
      <c r="M329" s="70"/>
      <c r="N329" s="70"/>
    </row>
    <row r="330" spans="11:14">
      <c r="K330" s="70"/>
      <c r="L330" s="70"/>
      <c r="M330" s="70"/>
      <c r="N330" s="70"/>
    </row>
    <row r="331" spans="11:14">
      <c r="K331" s="70"/>
      <c r="L331" s="70"/>
      <c r="M331" s="70"/>
      <c r="N331" s="70"/>
    </row>
    <row r="332" spans="11:14">
      <c r="K332" s="70"/>
      <c r="L332" s="70"/>
      <c r="M332" s="70"/>
      <c r="N332" s="70"/>
    </row>
    <row r="333" spans="11:14">
      <c r="K333" s="70"/>
      <c r="L333" s="70"/>
      <c r="M333" s="70"/>
      <c r="N333" s="70"/>
    </row>
    <row r="334" spans="11:14">
      <c r="K334" s="70"/>
      <c r="L334" s="70"/>
      <c r="M334" s="70"/>
      <c r="N334" s="70"/>
    </row>
    <row r="335" spans="11:14">
      <c r="K335" s="70"/>
      <c r="L335" s="70"/>
      <c r="M335" s="70"/>
      <c r="N335" s="70"/>
    </row>
    <row r="336" spans="11:14">
      <c r="K336" s="70"/>
      <c r="L336" s="70"/>
      <c r="M336" s="70"/>
      <c r="N336" s="70"/>
    </row>
    <row r="337" spans="11:14">
      <c r="K337" s="70"/>
      <c r="L337" s="70"/>
      <c r="M337" s="70"/>
      <c r="N337" s="70"/>
    </row>
    <row r="338" spans="11:14">
      <c r="K338" s="70"/>
      <c r="L338" s="70"/>
      <c r="M338" s="70"/>
      <c r="N338" s="70"/>
    </row>
    <row r="339" spans="11:14">
      <c r="K339" s="70"/>
      <c r="L339" s="70"/>
      <c r="M339" s="70"/>
      <c r="N339" s="70"/>
    </row>
    <row r="340" spans="11:14">
      <c r="K340" s="70"/>
      <c r="L340" s="70"/>
      <c r="M340" s="70"/>
      <c r="N340" s="70"/>
    </row>
    <row r="341" spans="11:14">
      <c r="K341" s="70"/>
      <c r="L341" s="70"/>
      <c r="M341" s="70"/>
      <c r="N341" s="70"/>
    </row>
    <row r="342" spans="11:14">
      <c r="K342" s="70"/>
      <c r="L342" s="70"/>
      <c r="M342" s="70"/>
      <c r="N342" s="70"/>
    </row>
    <row r="343" spans="11:14">
      <c r="K343" s="70"/>
      <c r="L343" s="70"/>
      <c r="M343" s="70"/>
      <c r="N343" s="70"/>
    </row>
    <row r="344" spans="11:14">
      <c r="K344" s="70"/>
      <c r="L344" s="70"/>
      <c r="M344" s="70"/>
      <c r="N344" s="70"/>
    </row>
    <row r="345" spans="11:14">
      <c r="K345" s="70"/>
      <c r="L345" s="70"/>
      <c r="M345" s="70"/>
      <c r="N345" s="70"/>
    </row>
    <row r="346" spans="11:14">
      <c r="K346" s="70"/>
      <c r="L346" s="70"/>
      <c r="M346" s="70"/>
      <c r="N346" s="70"/>
    </row>
    <row r="347" spans="11:14">
      <c r="K347" s="70"/>
      <c r="L347" s="70"/>
      <c r="M347" s="70"/>
      <c r="N347" s="70"/>
    </row>
    <row r="348" spans="11:14">
      <c r="K348" s="70"/>
      <c r="L348" s="70"/>
      <c r="M348" s="70"/>
      <c r="N348" s="70"/>
    </row>
    <row r="349" spans="11:14">
      <c r="K349" s="70"/>
      <c r="L349" s="70"/>
      <c r="M349" s="70"/>
      <c r="N349" s="70"/>
    </row>
    <row r="350" spans="11:14">
      <c r="K350" s="70"/>
      <c r="L350" s="70"/>
      <c r="M350" s="70"/>
      <c r="N350" s="70"/>
    </row>
    <row r="351" spans="11:14">
      <c r="K351" s="70"/>
      <c r="L351" s="70"/>
      <c r="M351" s="70"/>
      <c r="N351" s="70"/>
    </row>
    <row r="352" spans="11:14">
      <c r="K352" s="70"/>
      <c r="L352" s="70"/>
      <c r="M352" s="70"/>
      <c r="N352" s="70"/>
    </row>
    <row r="353" spans="11:14">
      <c r="K353" s="70"/>
      <c r="L353" s="70"/>
      <c r="M353" s="70"/>
      <c r="N353" s="70"/>
    </row>
    <row r="354" spans="11:14">
      <c r="K354" s="70"/>
      <c r="L354" s="70"/>
      <c r="M354" s="70"/>
      <c r="N354" s="70"/>
    </row>
    <row r="355" spans="11:14">
      <c r="K355" s="70"/>
      <c r="L355" s="70"/>
      <c r="M355" s="70"/>
      <c r="N355" s="70"/>
    </row>
    <row r="356" spans="11:14">
      <c r="K356" s="70"/>
      <c r="L356" s="70"/>
      <c r="M356" s="70"/>
      <c r="N356" s="70"/>
    </row>
    <row r="357" spans="11:14">
      <c r="K357" s="70"/>
      <c r="L357" s="70"/>
      <c r="M357" s="70"/>
      <c r="N357" s="70"/>
    </row>
    <row r="358" spans="11:14">
      <c r="K358" s="70"/>
      <c r="L358" s="70"/>
      <c r="M358" s="70"/>
      <c r="N358" s="70"/>
    </row>
    <row r="359" spans="11:14">
      <c r="K359" s="70"/>
      <c r="L359" s="70"/>
      <c r="M359" s="70"/>
      <c r="N359" s="70"/>
    </row>
    <row r="360" spans="11:14">
      <c r="K360" s="70"/>
      <c r="L360" s="70"/>
      <c r="M360" s="70"/>
      <c r="N360" s="70"/>
    </row>
    <row r="361" spans="11:14">
      <c r="K361" s="70"/>
      <c r="L361" s="70"/>
      <c r="M361" s="70"/>
      <c r="N361" s="70"/>
    </row>
    <row r="362" spans="11:14">
      <c r="K362" s="70"/>
      <c r="L362" s="70"/>
      <c r="M362" s="70"/>
      <c r="N362" s="70"/>
    </row>
    <row r="363" spans="11:14">
      <c r="K363" s="70"/>
      <c r="L363" s="70"/>
      <c r="M363" s="70"/>
      <c r="N363" s="70"/>
    </row>
    <row r="364" spans="11:14">
      <c r="K364" s="70"/>
      <c r="L364" s="70"/>
      <c r="M364" s="70"/>
      <c r="N364" s="70"/>
    </row>
    <row r="365" spans="11:14">
      <c r="K365" s="70"/>
      <c r="L365" s="70"/>
      <c r="M365" s="70"/>
      <c r="N365" s="70"/>
    </row>
    <row r="366" spans="11:14">
      <c r="K366" s="70"/>
      <c r="L366" s="70"/>
      <c r="M366" s="70"/>
      <c r="N366" s="70"/>
    </row>
    <row r="367" spans="11:14">
      <c r="K367" s="70"/>
      <c r="L367" s="70"/>
      <c r="M367" s="70"/>
      <c r="N367" s="70"/>
    </row>
    <row r="368" spans="11:14">
      <c r="K368" s="70"/>
      <c r="L368" s="70"/>
      <c r="M368" s="70"/>
      <c r="N368" s="70"/>
    </row>
    <row r="369" spans="11:14">
      <c r="K369" s="70"/>
      <c r="L369" s="70"/>
      <c r="M369" s="70"/>
      <c r="N369" s="70"/>
    </row>
    <row r="370" spans="11:14">
      <c r="K370" s="70"/>
      <c r="L370" s="70"/>
      <c r="M370" s="70"/>
      <c r="N370" s="70"/>
    </row>
    <row r="371" spans="11:14">
      <c r="K371" s="70"/>
      <c r="L371" s="70"/>
      <c r="M371" s="70"/>
      <c r="N371" s="70"/>
    </row>
    <row r="372" spans="11:14">
      <c r="K372" s="70"/>
      <c r="L372" s="70"/>
      <c r="M372" s="70"/>
      <c r="N372" s="70"/>
    </row>
    <row r="373" spans="11:14">
      <c r="K373" s="70"/>
      <c r="L373" s="70"/>
      <c r="M373" s="70"/>
      <c r="N373" s="70"/>
    </row>
    <row r="374" spans="11:14">
      <c r="K374" s="70"/>
      <c r="L374" s="70"/>
      <c r="M374" s="70"/>
      <c r="N374" s="70"/>
    </row>
    <row r="375" spans="11:14">
      <c r="K375" s="70"/>
      <c r="L375" s="70"/>
      <c r="M375" s="70"/>
      <c r="N375" s="70"/>
    </row>
    <row r="376" spans="11:14">
      <c r="K376" s="70"/>
      <c r="L376" s="70"/>
      <c r="M376" s="70"/>
      <c r="N376" s="70"/>
    </row>
    <row r="377" spans="11:14">
      <c r="K377" s="70"/>
      <c r="L377" s="70"/>
      <c r="M377" s="70"/>
      <c r="N377" s="70"/>
    </row>
    <row r="378" spans="11:14">
      <c r="K378" s="70"/>
      <c r="L378" s="70"/>
      <c r="M378" s="70"/>
      <c r="N378" s="70"/>
    </row>
    <row r="379" spans="11:14">
      <c r="K379" s="70"/>
      <c r="L379" s="70"/>
      <c r="M379" s="70"/>
      <c r="N379" s="70"/>
    </row>
    <row r="380" spans="11:14">
      <c r="K380" s="70"/>
      <c r="L380" s="70"/>
      <c r="M380" s="70"/>
      <c r="N380" s="70"/>
    </row>
    <row r="381" spans="11:14">
      <c r="K381" s="70"/>
      <c r="L381" s="70"/>
      <c r="M381" s="70"/>
      <c r="N381" s="70"/>
    </row>
    <row r="382" spans="11:14">
      <c r="K382" s="70"/>
      <c r="L382" s="70"/>
      <c r="M382" s="70"/>
      <c r="N382" s="70"/>
    </row>
    <row r="383" spans="11:14">
      <c r="K383" s="70"/>
      <c r="L383" s="70"/>
      <c r="M383" s="70"/>
      <c r="N383" s="70"/>
    </row>
    <row r="384" spans="11:14">
      <c r="K384" s="70"/>
      <c r="L384" s="70"/>
      <c r="M384" s="70"/>
      <c r="N384" s="70"/>
    </row>
    <row r="385" spans="11:14">
      <c r="K385" s="70"/>
      <c r="L385" s="70"/>
      <c r="M385" s="70"/>
      <c r="N385" s="70"/>
    </row>
    <row r="386" spans="11:14">
      <c r="K386" s="70"/>
      <c r="L386" s="70"/>
      <c r="M386" s="70"/>
      <c r="N386" s="70"/>
    </row>
    <row r="387" spans="11:14">
      <c r="K387" s="70"/>
      <c r="L387" s="70"/>
      <c r="M387" s="70"/>
      <c r="N387" s="70"/>
    </row>
    <row r="388" spans="11:14">
      <c r="K388" s="70"/>
      <c r="L388" s="70"/>
      <c r="M388" s="70"/>
      <c r="N388" s="70"/>
    </row>
    <row r="389" spans="11:14">
      <c r="K389" s="70"/>
      <c r="L389" s="70"/>
      <c r="M389" s="70"/>
      <c r="N389" s="70"/>
    </row>
    <row r="390" spans="11:14">
      <c r="K390" s="70"/>
      <c r="L390" s="70"/>
      <c r="M390" s="70"/>
      <c r="N390" s="70"/>
    </row>
    <row r="391" spans="11:14">
      <c r="K391" s="70"/>
      <c r="L391" s="70"/>
      <c r="M391" s="70"/>
      <c r="N391" s="70"/>
    </row>
    <row r="392" spans="11:14">
      <c r="K392" s="70"/>
      <c r="L392" s="70"/>
      <c r="M392" s="70"/>
      <c r="N392" s="70"/>
    </row>
    <row r="393" spans="11:14">
      <c r="K393" s="70"/>
      <c r="L393" s="70"/>
      <c r="M393" s="70"/>
      <c r="N393" s="70"/>
    </row>
    <row r="394" spans="11:14">
      <c r="K394" s="70"/>
      <c r="L394" s="70"/>
      <c r="M394" s="70"/>
      <c r="N394" s="70"/>
    </row>
    <row r="395" spans="11:14">
      <c r="K395" s="70"/>
      <c r="L395" s="70"/>
      <c r="M395" s="70"/>
      <c r="N395" s="70"/>
    </row>
    <row r="396" spans="11:14">
      <c r="K396" s="70"/>
      <c r="L396" s="70"/>
      <c r="M396" s="70"/>
      <c r="N396" s="70"/>
    </row>
    <row r="397" spans="11:14">
      <c r="K397" s="70"/>
      <c r="L397" s="70"/>
      <c r="M397" s="70"/>
      <c r="N397" s="70"/>
    </row>
    <row r="398" spans="11:14">
      <c r="K398" s="70"/>
      <c r="L398" s="70"/>
      <c r="M398" s="70"/>
      <c r="N398" s="70"/>
    </row>
    <row r="399" spans="11:14">
      <c r="K399" s="70"/>
      <c r="L399" s="70"/>
      <c r="M399" s="70"/>
      <c r="N399" s="70"/>
    </row>
    <row r="400" spans="11:14">
      <c r="K400" s="70"/>
      <c r="L400" s="70"/>
      <c r="M400" s="70"/>
      <c r="N400" s="70"/>
    </row>
    <row r="401" spans="11:14">
      <c r="K401" s="70"/>
      <c r="L401" s="70"/>
      <c r="M401" s="70"/>
      <c r="N401" s="70"/>
    </row>
    <row r="402" spans="11:14">
      <c r="K402" s="70"/>
      <c r="L402" s="70"/>
      <c r="M402" s="70"/>
      <c r="N402" s="70"/>
    </row>
    <row r="403" spans="11:14">
      <c r="K403" s="70"/>
      <c r="L403" s="70"/>
      <c r="M403" s="70"/>
      <c r="N403" s="70"/>
    </row>
    <row r="404" spans="11:14">
      <c r="K404" s="70"/>
      <c r="L404" s="70"/>
      <c r="M404" s="70"/>
      <c r="N404" s="70"/>
    </row>
    <row r="405" spans="11:14">
      <c r="K405" s="70"/>
      <c r="L405" s="70"/>
      <c r="M405" s="70"/>
      <c r="N405" s="70"/>
    </row>
    <row r="406" spans="11:14">
      <c r="K406" s="70"/>
      <c r="L406" s="70"/>
      <c r="M406" s="70"/>
      <c r="N406" s="70"/>
    </row>
    <row r="407" spans="11:14">
      <c r="K407" s="70"/>
      <c r="L407" s="70"/>
      <c r="M407" s="70"/>
      <c r="N407" s="70"/>
    </row>
    <row r="408" spans="11:14">
      <c r="K408" s="70"/>
      <c r="L408" s="70"/>
      <c r="M408" s="70"/>
      <c r="N408" s="70"/>
    </row>
    <row r="409" spans="11:14">
      <c r="K409" s="70"/>
      <c r="L409" s="70"/>
      <c r="M409" s="70"/>
      <c r="N409" s="70"/>
    </row>
    <row r="410" spans="11:14">
      <c r="K410" s="70"/>
      <c r="L410" s="70"/>
      <c r="M410" s="70"/>
      <c r="N410" s="70"/>
    </row>
    <row r="411" spans="11:14">
      <c r="K411" s="70"/>
      <c r="L411" s="70"/>
      <c r="M411" s="70"/>
      <c r="N411" s="70"/>
    </row>
    <row r="412" spans="11:14">
      <c r="K412" s="70"/>
      <c r="L412" s="70"/>
      <c r="M412" s="70"/>
      <c r="N412" s="70"/>
    </row>
    <row r="413" spans="11:14">
      <c r="K413" s="70"/>
      <c r="L413" s="70"/>
      <c r="M413" s="70"/>
      <c r="N413" s="70"/>
    </row>
    <row r="414" spans="11:14">
      <c r="K414" s="70"/>
      <c r="L414" s="70"/>
      <c r="M414" s="70"/>
      <c r="N414" s="70"/>
    </row>
    <row r="415" spans="11:14">
      <c r="K415" s="70"/>
      <c r="L415" s="70"/>
      <c r="M415" s="70"/>
      <c r="N415" s="70"/>
    </row>
    <row r="416" spans="11:14">
      <c r="K416" s="70"/>
      <c r="L416" s="70"/>
      <c r="M416" s="70"/>
      <c r="N416" s="70"/>
    </row>
    <row r="417" spans="11:14">
      <c r="K417" s="70"/>
      <c r="L417" s="70"/>
      <c r="M417" s="70"/>
      <c r="N417" s="70"/>
    </row>
    <row r="418" spans="11:14">
      <c r="K418" s="70"/>
      <c r="L418" s="70"/>
      <c r="M418" s="70"/>
      <c r="N418" s="70"/>
    </row>
    <row r="419" spans="11:14">
      <c r="K419" s="70"/>
      <c r="L419" s="70"/>
      <c r="M419" s="70"/>
      <c r="N419" s="70"/>
    </row>
    <row r="420" spans="11:14">
      <c r="K420" s="70"/>
      <c r="L420" s="70"/>
      <c r="M420" s="70"/>
      <c r="N420" s="70"/>
    </row>
    <row r="421" spans="11:14">
      <c r="K421" s="70"/>
      <c r="L421" s="70"/>
      <c r="M421" s="70"/>
      <c r="N421" s="70"/>
    </row>
    <row r="422" spans="11:14">
      <c r="K422" s="70"/>
      <c r="L422" s="70"/>
      <c r="M422" s="70"/>
      <c r="N422" s="70"/>
    </row>
    <row r="423" spans="11:14">
      <c r="K423" s="70"/>
      <c r="L423" s="70"/>
      <c r="M423" s="70"/>
      <c r="N423" s="70"/>
    </row>
    <row r="424" spans="11:14">
      <c r="K424" s="70"/>
      <c r="L424" s="70"/>
      <c r="M424" s="70"/>
      <c r="N424" s="70"/>
    </row>
    <row r="425" spans="11:14">
      <c r="K425" s="70"/>
      <c r="L425" s="70"/>
      <c r="M425" s="70"/>
      <c r="N425" s="70"/>
    </row>
    <row r="426" spans="11:14">
      <c r="K426" s="70"/>
      <c r="L426" s="70"/>
      <c r="M426" s="70"/>
      <c r="N426" s="70"/>
    </row>
    <row r="427" spans="11:14">
      <c r="K427" s="70"/>
      <c r="L427" s="70"/>
      <c r="M427" s="70"/>
      <c r="N427" s="70"/>
    </row>
    <row r="428" spans="11:14">
      <c r="K428" s="70"/>
      <c r="L428" s="70"/>
      <c r="M428" s="70"/>
      <c r="N428" s="70"/>
    </row>
    <row r="429" spans="11:14">
      <c r="K429" s="70"/>
      <c r="L429" s="70"/>
      <c r="M429" s="70"/>
      <c r="N429" s="70"/>
    </row>
    <row r="430" spans="11:14">
      <c r="K430" s="70"/>
      <c r="L430" s="70"/>
      <c r="M430" s="70"/>
      <c r="N430" s="70"/>
    </row>
    <row r="431" spans="11:14">
      <c r="K431" s="70"/>
      <c r="L431" s="70"/>
      <c r="M431" s="70"/>
      <c r="N431" s="70"/>
    </row>
    <row r="432" spans="11:14">
      <c r="K432" s="70"/>
      <c r="L432" s="70"/>
      <c r="M432" s="70"/>
      <c r="N432" s="70"/>
    </row>
    <row r="433" spans="11:14">
      <c r="K433" s="70"/>
      <c r="L433" s="70"/>
      <c r="M433" s="70"/>
      <c r="N433" s="70"/>
    </row>
    <row r="434" spans="11:14">
      <c r="K434" s="70"/>
      <c r="L434" s="70"/>
      <c r="M434" s="70"/>
      <c r="N434" s="70"/>
    </row>
    <row r="435" spans="11:14">
      <c r="K435" s="70"/>
      <c r="L435" s="70"/>
      <c r="M435" s="70"/>
      <c r="N435" s="70"/>
    </row>
    <row r="436" spans="11:14">
      <c r="K436" s="70"/>
      <c r="L436" s="70"/>
      <c r="M436" s="70"/>
      <c r="N436" s="70"/>
    </row>
    <row r="437" spans="11:14">
      <c r="K437" s="70"/>
      <c r="L437" s="70"/>
      <c r="M437" s="70"/>
      <c r="N437" s="70"/>
    </row>
    <row r="438" spans="11:14">
      <c r="K438" s="70"/>
      <c r="L438" s="70"/>
      <c r="M438" s="70"/>
      <c r="N438" s="70"/>
    </row>
    <row r="439" spans="11:14">
      <c r="K439" s="70"/>
      <c r="L439" s="70"/>
      <c r="M439" s="70"/>
      <c r="N439" s="70"/>
    </row>
    <row r="440" spans="11:14">
      <c r="K440" s="70"/>
      <c r="L440" s="70"/>
      <c r="M440" s="70"/>
      <c r="N440" s="70"/>
    </row>
    <row r="441" spans="11:14">
      <c r="K441" s="70"/>
      <c r="L441" s="70"/>
      <c r="M441" s="70"/>
      <c r="N441" s="70"/>
    </row>
    <row r="442" spans="11:14">
      <c r="K442" s="70"/>
      <c r="L442" s="70"/>
      <c r="M442" s="70"/>
      <c r="N442" s="70"/>
    </row>
    <row r="443" spans="11:14">
      <c r="K443" s="70"/>
      <c r="L443" s="70"/>
      <c r="M443" s="70"/>
      <c r="N443" s="70"/>
    </row>
    <row r="444" spans="11:14">
      <c r="K444" s="70"/>
      <c r="L444" s="70"/>
      <c r="M444" s="70"/>
      <c r="N444" s="70"/>
    </row>
    <row r="445" spans="11:14">
      <c r="K445" s="70"/>
      <c r="L445" s="70"/>
      <c r="M445" s="70"/>
      <c r="N445" s="70"/>
    </row>
    <row r="446" spans="11:14">
      <c r="K446" s="70"/>
      <c r="L446" s="70"/>
      <c r="M446" s="70"/>
      <c r="N446" s="70"/>
    </row>
    <row r="447" spans="11:14">
      <c r="K447" s="70"/>
      <c r="L447" s="70"/>
      <c r="M447" s="70"/>
      <c r="N447" s="70"/>
    </row>
    <row r="448" spans="11:14">
      <c r="K448" s="70"/>
      <c r="L448" s="70"/>
      <c r="M448" s="70"/>
      <c r="N448" s="70"/>
    </row>
    <row r="449" spans="11:14">
      <c r="K449" s="70"/>
      <c r="L449" s="70"/>
      <c r="M449" s="70"/>
      <c r="N449" s="70"/>
    </row>
    <row r="450" spans="11:14">
      <c r="K450" s="70"/>
      <c r="L450" s="70"/>
      <c r="M450" s="70"/>
      <c r="N450" s="70"/>
    </row>
    <row r="451" spans="11:14">
      <c r="K451" s="70"/>
      <c r="L451" s="70"/>
      <c r="M451" s="70"/>
      <c r="N451" s="70"/>
    </row>
    <row r="452" spans="11:14">
      <c r="K452" s="70"/>
      <c r="L452" s="70"/>
      <c r="M452" s="70"/>
      <c r="N452" s="70"/>
    </row>
    <row r="453" spans="11:14">
      <c r="K453" s="70"/>
      <c r="L453" s="70"/>
      <c r="M453" s="70"/>
      <c r="N453" s="70"/>
    </row>
    <row r="454" spans="11:14">
      <c r="K454" s="70"/>
      <c r="L454" s="70"/>
      <c r="M454" s="70"/>
      <c r="N454" s="70"/>
    </row>
    <row r="455" spans="11:14">
      <c r="K455" s="70"/>
      <c r="L455" s="70"/>
      <c r="M455" s="70"/>
      <c r="N455" s="70"/>
    </row>
    <row r="456" spans="11:14">
      <c r="K456" s="70"/>
      <c r="L456" s="70"/>
      <c r="M456" s="70"/>
      <c r="N456" s="70"/>
    </row>
    <row r="457" spans="11:14">
      <c r="K457" s="70"/>
      <c r="L457" s="70"/>
      <c r="M457" s="70"/>
      <c r="N457" s="70"/>
    </row>
    <row r="458" spans="11:14">
      <c r="K458" s="70"/>
      <c r="L458" s="70"/>
      <c r="M458" s="70"/>
      <c r="N458" s="70"/>
    </row>
    <row r="459" spans="11:14">
      <c r="K459" s="70"/>
      <c r="L459" s="70"/>
      <c r="M459" s="70"/>
      <c r="N459" s="70"/>
    </row>
    <row r="460" spans="11:14">
      <c r="K460" s="70"/>
      <c r="L460" s="70"/>
      <c r="M460" s="70"/>
      <c r="N460" s="70"/>
    </row>
    <row r="461" spans="11:14">
      <c r="K461" s="70"/>
      <c r="L461" s="70"/>
      <c r="M461" s="70"/>
      <c r="N461" s="70"/>
    </row>
    <row r="462" spans="11:14">
      <c r="K462" s="70"/>
      <c r="L462" s="70"/>
      <c r="M462" s="70"/>
      <c r="N462" s="70"/>
    </row>
    <row r="463" spans="11:14">
      <c r="K463" s="70"/>
      <c r="L463" s="70"/>
      <c r="M463" s="70"/>
      <c r="N463" s="70"/>
    </row>
    <row r="464" spans="11:14">
      <c r="K464" s="70"/>
      <c r="L464" s="70"/>
      <c r="M464" s="70"/>
      <c r="N464" s="70"/>
    </row>
    <row r="465" spans="11:14">
      <c r="K465" s="70"/>
      <c r="L465" s="70"/>
      <c r="M465" s="70"/>
      <c r="N465" s="70"/>
    </row>
    <row r="466" spans="11:14">
      <c r="K466" s="70"/>
      <c r="L466" s="70"/>
      <c r="M466" s="70"/>
      <c r="N466" s="70"/>
    </row>
    <row r="467" spans="11:14">
      <c r="K467" s="70"/>
      <c r="L467" s="70"/>
      <c r="M467" s="70"/>
      <c r="N467" s="70"/>
    </row>
    <row r="468" spans="11:14">
      <c r="K468" s="70"/>
      <c r="L468" s="70"/>
      <c r="M468" s="70"/>
      <c r="N468" s="70"/>
    </row>
    <row r="469" spans="11:14">
      <c r="K469" s="70"/>
      <c r="L469" s="70"/>
      <c r="M469" s="70"/>
      <c r="N469" s="70"/>
    </row>
    <row r="470" spans="11:14">
      <c r="K470" s="70"/>
      <c r="L470" s="70"/>
      <c r="M470" s="70"/>
      <c r="N470" s="70"/>
    </row>
    <row r="471" spans="11:14">
      <c r="K471" s="70"/>
      <c r="L471" s="70"/>
      <c r="M471" s="70"/>
      <c r="N471" s="70"/>
    </row>
    <row r="472" spans="11:14">
      <c r="K472" s="70"/>
      <c r="L472" s="70"/>
      <c r="M472" s="70"/>
      <c r="N472" s="70"/>
    </row>
    <row r="473" spans="11:14">
      <c r="K473" s="70"/>
      <c r="L473" s="70"/>
      <c r="M473" s="70"/>
      <c r="N473" s="70"/>
    </row>
    <row r="474" spans="11:14">
      <c r="K474" s="70"/>
      <c r="L474" s="70"/>
      <c r="M474" s="70"/>
      <c r="N474" s="70"/>
    </row>
    <row r="475" spans="11:14">
      <c r="K475" s="70"/>
      <c r="L475" s="70"/>
      <c r="M475" s="70"/>
      <c r="N475" s="70"/>
    </row>
    <row r="476" spans="11:14">
      <c r="K476" s="70"/>
      <c r="L476" s="70"/>
      <c r="M476" s="70"/>
      <c r="N476" s="70"/>
    </row>
    <row r="477" spans="11:14">
      <c r="K477" s="70"/>
      <c r="L477" s="70"/>
      <c r="M477" s="70"/>
      <c r="N477" s="70"/>
    </row>
    <row r="478" spans="11:14">
      <c r="K478" s="70"/>
      <c r="L478" s="70"/>
      <c r="M478" s="70"/>
      <c r="N478" s="70"/>
    </row>
    <row r="479" spans="11:14">
      <c r="K479" s="70"/>
      <c r="L479" s="70"/>
      <c r="M479" s="70"/>
      <c r="N479" s="70"/>
    </row>
    <row r="480" spans="11:14">
      <c r="K480" s="70"/>
      <c r="L480" s="70"/>
      <c r="M480" s="70"/>
      <c r="N480" s="70"/>
    </row>
    <row r="481" spans="11:14">
      <c r="K481" s="70"/>
      <c r="L481" s="70"/>
      <c r="M481" s="70"/>
      <c r="N481" s="70"/>
    </row>
    <row r="482" spans="11:14">
      <c r="K482" s="70"/>
      <c r="L482" s="70"/>
      <c r="M482" s="70"/>
      <c r="N482" s="70"/>
    </row>
    <row r="483" spans="11:14">
      <c r="K483" s="70"/>
      <c r="L483" s="70"/>
      <c r="M483" s="70"/>
      <c r="N483" s="70"/>
    </row>
    <row r="484" spans="11:14">
      <c r="K484" s="70"/>
      <c r="L484" s="70"/>
      <c r="M484" s="70"/>
      <c r="N484" s="70"/>
    </row>
    <row r="485" spans="11:14">
      <c r="K485" s="70"/>
      <c r="L485" s="70"/>
      <c r="M485" s="70"/>
      <c r="N485" s="70"/>
    </row>
    <row r="486" spans="11:14">
      <c r="K486" s="70"/>
      <c r="L486" s="70"/>
      <c r="M486" s="70"/>
      <c r="N486" s="70"/>
    </row>
    <row r="487" spans="11:14">
      <c r="K487" s="70"/>
      <c r="L487" s="70"/>
      <c r="M487" s="70"/>
      <c r="N487" s="70"/>
    </row>
    <row r="488" spans="11:14">
      <c r="K488" s="70"/>
      <c r="L488" s="70"/>
      <c r="M488" s="70"/>
      <c r="N488" s="70"/>
    </row>
    <row r="489" spans="11:14">
      <c r="K489" s="70"/>
      <c r="L489" s="70"/>
      <c r="M489" s="70"/>
      <c r="N489" s="70"/>
    </row>
    <row r="490" spans="11:14">
      <c r="K490" s="70"/>
      <c r="L490" s="70"/>
      <c r="M490" s="70"/>
      <c r="N490" s="70"/>
    </row>
    <row r="491" spans="11:14">
      <c r="K491" s="70"/>
      <c r="L491" s="70"/>
      <c r="M491" s="70"/>
      <c r="N491" s="70"/>
    </row>
    <row r="492" spans="11:14">
      <c r="K492" s="70"/>
      <c r="L492" s="70"/>
      <c r="M492" s="70"/>
      <c r="N492" s="70"/>
    </row>
    <row r="493" spans="11:14">
      <c r="K493" s="70"/>
      <c r="L493" s="70"/>
      <c r="M493" s="70"/>
      <c r="N493" s="70"/>
    </row>
    <row r="494" spans="11:14">
      <c r="K494" s="70"/>
      <c r="L494" s="70"/>
      <c r="M494" s="70"/>
      <c r="N494" s="70"/>
    </row>
    <row r="495" spans="11:14">
      <c r="K495" s="70"/>
      <c r="L495" s="70"/>
      <c r="M495" s="70"/>
      <c r="N495" s="70"/>
    </row>
    <row r="496" spans="11:14">
      <c r="K496" s="70"/>
      <c r="L496" s="70"/>
      <c r="M496" s="70"/>
      <c r="N496" s="70"/>
    </row>
    <row r="497" spans="11:14">
      <c r="K497" s="70"/>
      <c r="L497" s="70"/>
      <c r="M497" s="70"/>
      <c r="N497" s="70"/>
    </row>
    <row r="498" spans="11:14">
      <c r="K498" s="70"/>
      <c r="L498" s="70"/>
      <c r="M498" s="70"/>
      <c r="N498" s="70"/>
    </row>
    <row r="499" spans="11:14">
      <c r="K499" s="70"/>
      <c r="L499" s="70"/>
      <c r="M499" s="70"/>
      <c r="N499" s="70"/>
    </row>
    <row r="500" spans="11:14">
      <c r="K500" s="70"/>
      <c r="L500" s="70"/>
      <c r="M500" s="70"/>
      <c r="N500" s="70"/>
    </row>
    <row r="501" spans="11:14">
      <c r="K501" s="70"/>
      <c r="L501" s="70"/>
      <c r="M501" s="70"/>
      <c r="N501" s="70"/>
    </row>
    <row r="502" spans="11:14">
      <c r="K502" s="70"/>
      <c r="L502" s="70"/>
      <c r="M502" s="70"/>
      <c r="N502" s="70"/>
    </row>
    <row r="503" spans="11:14">
      <c r="K503" s="70"/>
      <c r="L503" s="70"/>
      <c r="M503" s="70"/>
      <c r="N503" s="70"/>
    </row>
    <row r="504" spans="11:14">
      <c r="K504" s="70"/>
      <c r="L504" s="70"/>
      <c r="M504" s="70"/>
      <c r="N504" s="70"/>
    </row>
    <row r="505" spans="11:14">
      <c r="K505" s="70"/>
      <c r="L505" s="70"/>
      <c r="M505" s="70"/>
      <c r="N505" s="70"/>
    </row>
    <row r="506" spans="11:14">
      <c r="K506" s="70"/>
      <c r="L506" s="70"/>
      <c r="M506" s="70"/>
      <c r="N506" s="70"/>
    </row>
    <row r="507" spans="11:14">
      <c r="K507" s="70"/>
      <c r="L507" s="70"/>
      <c r="M507" s="70"/>
      <c r="N507" s="70"/>
    </row>
    <row r="508" spans="11:14">
      <c r="K508" s="70"/>
      <c r="L508" s="70"/>
      <c r="M508" s="70"/>
      <c r="N508" s="70"/>
    </row>
    <row r="509" spans="11:14">
      <c r="K509" s="70"/>
      <c r="L509" s="70"/>
      <c r="M509" s="70"/>
      <c r="N509" s="70"/>
    </row>
    <row r="510" spans="11:14">
      <c r="K510" s="70"/>
      <c r="L510" s="70"/>
      <c r="M510" s="70"/>
      <c r="N510" s="70"/>
    </row>
    <row r="511" spans="11:14">
      <c r="K511" s="70"/>
      <c r="L511" s="70"/>
      <c r="M511" s="70"/>
      <c r="N511" s="70"/>
    </row>
    <row r="512" spans="11:14">
      <c r="K512" s="70"/>
      <c r="L512" s="70"/>
      <c r="M512" s="70"/>
      <c r="N512" s="70"/>
    </row>
    <row r="513" spans="11:14">
      <c r="K513" s="70"/>
      <c r="L513" s="70"/>
      <c r="M513" s="70"/>
      <c r="N513" s="70"/>
    </row>
    <row r="514" spans="11:14">
      <c r="K514" s="70"/>
      <c r="L514" s="70"/>
      <c r="M514" s="70"/>
      <c r="N514" s="70"/>
    </row>
    <row r="515" spans="11:14">
      <c r="K515" s="70"/>
      <c r="L515" s="70"/>
      <c r="M515" s="70"/>
      <c r="N515" s="70"/>
    </row>
    <row r="516" spans="11:14">
      <c r="K516" s="70"/>
      <c r="L516" s="70"/>
      <c r="M516" s="70"/>
      <c r="N516" s="70"/>
    </row>
    <row r="517" spans="11:14">
      <c r="K517" s="70"/>
      <c r="L517" s="70"/>
      <c r="M517" s="70"/>
      <c r="N517" s="70"/>
    </row>
    <row r="518" spans="11:14">
      <c r="K518" s="70"/>
      <c r="L518" s="70"/>
      <c r="M518" s="70"/>
      <c r="N518" s="70"/>
    </row>
    <row r="519" spans="11:14">
      <c r="K519" s="70"/>
      <c r="L519" s="70"/>
      <c r="M519" s="70"/>
      <c r="N519" s="70"/>
    </row>
    <row r="520" spans="11:14">
      <c r="K520" s="70"/>
      <c r="L520" s="70"/>
      <c r="M520" s="70"/>
      <c r="N520" s="70"/>
    </row>
    <row r="521" spans="11:14">
      <c r="K521" s="70"/>
      <c r="L521" s="70"/>
      <c r="M521" s="70"/>
      <c r="N521" s="70"/>
    </row>
    <row r="522" spans="11:14">
      <c r="K522" s="70"/>
      <c r="L522" s="70"/>
      <c r="M522" s="70"/>
      <c r="N522" s="70"/>
    </row>
    <row r="523" spans="11:14">
      <c r="K523" s="70"/>
      <c r="L523" s="70"/>
      <c r="M523" s="70"/>
      <c r="N523" s="70"/>
    </row>
    <row r="524" spans="11:14">
      <c r="K524" s="70"/>
      <c r="L524" s="70"/>
      <c r="M524" s="70"/>
      <c r="N524" s="70"/>
    </row>
    <row r="525" spans="11:14">
      <c r="K525" s="70"/>
      <c r="L525" s="70"/>
      <c r="M525" s="70"/>
      <c r="N525" s="70"/>
    </row>
    <row r="526" spans="11:14">
      <c r="K526" s="70"/>
      <c r="L526" s="70"/>
      <c r="M526" s="70"/>
      <c r="N526" s="70"/>
    </row>
    <row r="527" spans="11:14">
      <c r="K527" s="70"/>
      <c r="L527" s="70"/>
      <c r="M527" s="70"/>
      <c r="N527" s="70"/>
    </row>
    <row r="528" spans="11:14">
      <c r="K528" s="70"/>
      <c r="L528" s="70"/>
      <c r="M528" s="70"/>
      <c r="N528" s="70"/>
    </row>
    <row r="529" spans="11:14">
      <c r="K529" s="70"/>
      <c r="L529" s="70"/>
      <c r="M529" s="70"/>
      <c r="N529" s="70"/>
    </row>
    <row r="530" spans="11:14">
      <c r="K530" s="70"/>
      <c r="L530" s="70"/>
      <c r="M530" s="70"/>
      <c r="N530" s="70"/>
    </row>
    <row r="531" spans="11:14">
      <c r="K531" s="70"/>
      <c r="L531" s="70"/>
      <c r="M531" s="70"/>
      <c r="N531" s="70"/>
    </row>
    <row r="532" spans="11:14">
      <c r="K532" s="70"/>
      <c r="L532" s="70"/>
      <c r="M532" s="70"/>
      <c r="N532" s="70"/>
    </row>
    <row r="533" spans="11:14">
      <c r="K533" s="70"/>
      <c r="L533" s="70"/>
      <c r="M533" s="70"/>
      <c r="N533" s="70"/>
    </row>
    <row r="534" spans="11:14">
      <c r="K534" s="70"/>
      <c r="L534" s="70"/>
      <c r="M534" s="70"/>
      <c r="N534" s="70"/>
    </row>
    <row r="535" spans="11:14">
      <c r="K535" s="70"/>
      <c r="L535" s="70"/>
      <c r="M535" s="70"/>
      <c r="N535" s="70"/>
    </row>
    <row r="536" spans="11:14">
      <c r="K536" s="70"/>
      <c r="L536" s="70"/>
      <c r="M536" s="70"/>
      <c r="N536" s="70"/>
    </row>
    <row r="537" spans="11:14">
      <c r="K537" s="70"/>
      <c r="L537" s="70"/>
      <c r="M537" s="70"/>
      <c r="N537" s="70"/>
    </row>
    <row r="538" spans="11:14">
      <c r="K538" s="70"/>
      <c r="L538" s="70"/>
      <c r="M538" s="70"/>
      <c r="N538" s="70"/>
    </row>
    <row r="539" spans="11:14">
      <c r="K539" s="70"/>
      <c r="L539" s="70"/>
      <c r="M539" s="70"/>
      <c r="N539" s="70"/>
    </row>
    <row r="540" spans="11:14">
      <c r="K540" s="70"/>
      <c r="L540" s="70"/>
      <c r="M540" s="70"/>
      <c r="N540" s="70"/>
    </row>
    <row r="541" spans="11:14">
      <c r="K541" s="70"/>
      <c r="L541" s="70"/>
      <c r="M541" s="70"/>
      <c r="N541" s="70"/>
    </row>
    <row r="542" spans="11:14">
      <c r="K542" s="70"/>
      <c r="L542" s="70"/>
      <c r="M542" s="70"/>
      <c r="N542" s="70"/>
    </row>
    <row r="543" spans="11:14">
      <c r="K543" s="70"/>
      <c r="L543" s="70"/>
      <c r="M543" s="70"/>
      <c r="N543" s="70"/>
    </row>
    <row r="544" spans="11:14">
      <c r="K544" s="70"/>
      <c r="L544" s="70"/>
      <c r="M544" s="70"/>
      <c r="N544" s="70"/>
    </row>
    <row r="545" spans="11:14">
      <c r="K545" s="70"/>
      <c r="L545" s="70"/>
      <c r="M545" s="70"/>
      <c r="N545" s="70"/>
    </row>
    <row r="546" spans="11:14">
      <c r="K546" s="70"/>
      <c r="L546" s="70"/>
      <c r="M546" s="70"/>
      <c r="N546" s="70"/>
    </row>
    <row r="547" spans="11:14">
      <c r="K547" s="70"/>
      <c r="L547" s="70"/>
      <c r="M547" s="70"/>
      <c r="N547" s="70"/>
    </row>
    <row r="548" spans="11:14">
      <c r="K548" s="70"/>
      <c r="L548" s="70"/>
      <c r="M548" s="70"/>
      <c r="N548" s="70"/>
    </row>
    <row r="549" spans="11:14">
      <c r="K549" s="70"/>
      <c r="L549" s="70"/>
      <c r="M549" s="70"/>
      <c r="N549" s="70"/>
    </row>
    <row r="550" spans="11:14">
      <c r="K550" s="70"/>
      <c r="L550" s="70"/>
      <c r="M550" s="70"/>
      <c r="N550" s="70"/>
    </row>
    <row r="551" spans="11:14">
      <c r="K551" s="70"/>
      <c r="L551" s="70"/>
      <c r="M551" s="70"/>
      <c r="N551" s="70"/>
    </row>
    <row r="552" spans="11:14">
      <c r="K552" s="70"/>
      <c r="L552" s="70"/>
      <c r="M552" s="70"/>
      <c r="N552" s="70"/>
    </row>
    <row r="553" spans="11:14">
      <c r="K553" s="70"/>
      <c r="L553" s="70"/>
      <c r="M553" s="70"/>
      <c r="N553" s="70"/>
    </row>
    <row r="554" spans="11:14">
      <c r="K554" s="70"/>
      <c r="L554" s="70"/>
      <c r="M554" s="70"/>
      <c r="N554" s="70"/>
    </row>
    <row r="555" spans="11:14">
      <c r="K555" s="70"/>
      <c r="L555" s="70"/>
      <c r="M555" s="70"/>
      <c r="N555" s="70"/>
    </row>
    <row r="556" spans="11:14">
      <c r="K556" s="70"/>
      <c r="L556" s="70"/>
      <c r="M556" s="70"/>
      <c r="N556" s="70"/>
    </row>
    <row r="557" spans="11:14">
      <c r="K557" s="70"/>
      <c r="L557" s="70"/>
      <c r="M557" s="70"/>
      <c r="N557" s="70"/>
    </row>
    <row r="558" spans="11:14">
      <c r="K558" s="70"/>
      <c r="L558" s="70"/>
      <c r="M558" s="70"/>
      <c r="N558" s="70"/>
    </row>
    <row r="559" spans="11:14">
      <c r="K559" s="70"/>
      <c r="L559" s="70"/>
      <c r="M559" s="70"/>
      <c r="N559" s="70"/>
    </row>
    <row r="560" spans="11:14">
      <c r="K560" s="70"/>
      <c r="L560" s="70"/>
      <c r="M560" s="70"/>
      <c r="N560" s="70"/>
    </row>
    <row r="561" spans="11:14">
      <c r="K561" s="70"/>
      <c r="L561" s="70"/>
      <c r="M561" s="70"/>
      <c r="N561" s="70"/>
    </row>
    <row r="562" spans="11:14">
      <c r="K562" s="70"/>
      <c r="L562" s="70"/>
      <c r="M562" s="70"/>
      <c r="N562" s="70"/>
    </row>
    <row r="563" spans="11:14">
      <c r="K563" s="70"/>
      <c r="L563" s="70"/>
      <c r="M563" s="70"/>
      <c r="N563" s="70"/>
    </row>
    <row r="564" spans="11:14">
      <c r="K564" s="70"/>
      <c r="L564" s="70"/>
      <c r="M564" s="70"/>
      <c r="N564" s="70"/>
    </row>
    <row r="565" spans="11:14">
      <c r="K565" s="70"/>
      <c r="L565" s="70"/>
      <c r="M565" s="70"/>
      <c r="N565" s="70"/>
    </row>
    <row r="566" spans="11:14">
      <c r="K566" s="70"/>
      <c r="L566" s="70"/>
      <c r="M566" s="70"/>
      <c r="N566" s="70"/>
    </row>
    <row r="567" spans="11:14">
      <c r="K567" s="70"/>
      <c r="L567" s="70"/>
      <c r="M567" s="70"/>
      <c r="N567" s="70"/>
    </row>
    <row r="568" spans="11:14">
      <c r="K568" s="70"/>
      <c r="L568" s="70"/>
      <c r="M568" s="70"/>
      <c r="N568" s="70"/>
    </row>
    <row r="569" spans="11:14">
      <c r="K569" s="70"/>
      <c r="L569" s="70"/>
      <c r="M569" s="70"/>
      <c r="N569" s="70"/>
    </row>
    <row r="570" spans="11:14">
      <c r="K570" s="70"/>
      <c r="L570" s="70"/>
      <c r="M570" s="70"/>
      <c r="N570" s="70"/>
    </row>
    <row r="571" spans="11:14">
      <c r="K571" s="70"/>
      <c r="L571" s="70"/>
      <c r="M571" s="70"/>
      <c r="N571" s="70"/>
    </row>
    <row r="572" spans="11:14">
      <c r="K572" s="70"/>
      <c r="L572" s="70"/>
      <c r="M572" s="70"/>
      <c r="N572" s="70"/>
    </row>
    <row r="573" spans="11:14">
      <c r="K573" s="70"/>
      <c r="L573" s="70"/>
      <c r="M573" s="70"/>
      <c r="N573" s="70"/>
    </row>
    <row r="574" spans="11:14">
      <c r="K574" s="70"/>
      <c r="L574" s="70"/>
      <c r="M574" s="70"/>
      <c r="N574" s="70"/>
    </row>
    <row r="575" spans="11:14">
      <c r="K575" s="70"/>
      <c r="L575" s="70"/>
      <c r="M575" s="70"/>
      <c r="N575" s="70"/>
    </row>
    <row r="576" spans="11:14">
      <c r="K576" s="70"/>
      <c r="L576" s="70"/>
      <c r="M576" s="70"/>
      <c r="N576" s="70"/>
    </row>
    <row r="577" spans="11:14">
      <c r="K577" s="70"/>
      <c r="L577" s="70"/>
      <c r="M577" s="70"/>
      <c r="N577" s="70"/>
    </row>
    <row r="578" spans="11:14">
      <c r="K578" s="70"/>
      <c r="L578" s="70"/>
      <c r="M578" s="70"/>
      <c r="N578" s="70"/>
    </row>
    <row r="579" spans="11:14">
      <c r="K579" s="70"/>
      <c r="L579" s="70"/>
      <c r="M579" s="70"/>
      <c r="N579" s="70"/>
    </row>
    <row r="580" spans="11:14">
      <c r="K580" s="70"/>
      <c r="L580" s="70"/>
      <c r="M580" s="70"/>
      <c r="N580" s="70"/>
    </row>
    <row r="581" spans="11:14">
      <c r="K581" s="70"/>
      <c r="L581" s="70"/>
      <c r="M581" s="70"/>
      <c r="N581" s="70"/>
    </row>
    <row r="582" spans="11:14">
      <c r="K582" s="70"/>
      <c r="L582" s="70"/>
      <c r="M582" s="70"/>
      <c r="N582" s="70"/>
    </row>
    <row r="583" spans="11:14">
      <c r="K583" s="70"/>
      <c r="L583" s="70"/>
      <c r="M583" s="70"/>
      <c r="N583" s="70"/>
    </row>
    <row r="584" spans="11:14">
      <c r="K584" s="70"/>
      <c r="L584" s="70"/>
      <c r="M584" s="70"/>
      <c r="N584" s="70"/>
    </row>
    <row r="585" spans="11:14">
      <c r="K585" s="70"/>
      <c r="L585" s="70"/>
      <c r="M585" s="70"/>
      <c r="N585" s="70"/>
    </row>
    <row r="586" spans="11:14">
      <c r="K586" s="70"/>
      <c r="L586" s="70"/>
      <c r="M586" s="70"/>
      <c r="N586" s="70"/>
    </row>
    <row r="587" spans="11:14">
      <c r="K587" s="70"/>
      <c r="L587" s="70"/>
      <c r="M587" s="70"/>
      <c r="N587" s="70"/>
    </row>
    <row r="588" spans="11:14">
      <c r="K588" s="70"/>
      <c r="L588" s="70"/>
      <c r="M588" s="70"/>
      <c r="N588" s="70"/>
    </row>
    <row r="589" spans="11:14">
      <c r="K589" s="70"/>
      <c r="L589" s="70"/>
      <c r="M589" s="70"/>
      <c r="N589" s="70"/>
    </row>
    <row r="590" spans="11:14">
      <c r="K590" s="70"/>
      <c r="L590" s="70"/>
      <c r="M590" s="70"/>
      <c r="N590" s="70"/>
    </row>
    <row r="591" spans="11:14">
      <c r="K591" s="70"/>
      <c r="L591" s="70"/>
      <c r="M591" s="70"/>
      <c r="N591" s="70"/>
    </row>
    <row r="592" spans="11:14">
      <c r="K592" s="70"/>
      <c r="L592" s="70"/>
      <c r="M592" s="70"/>
      <c r="N592" s="70"/>
    </row>
    <row r="593" spans="11:14">
      <c r="K593" s="70"/>
      <c r="L593" s="70"/>
      <c r="M593" s="70"/>
      <c r="N593" s="70"/>
    </row>
    <row r="594" spans="11:14">
      <c r="K594" s="70"/>
      <c r="L594" s="70"/>
      <c r="M594" s="70"/>
      <c r="N594" s="70"/>
    </row>
    <row r="595" spans="11:14">
      <c r="K595" s="70"/>
      <c r="L595" s="70"/>
      <c r="M595" s="70"/>
      <c r="N595" s="70"/>
    </row>
    <row r="596" spans="11:14">
      <c r="K596" s="70"/>
      <c r="L596" s="70"/>
      <c r="M596" s="70"/>
      <c r="N596" s="70"/>
    </row>
    <row r="597" spans="11:14">
      <c r="K597" s="70"/>
      <c r="L597" s="70"/>
      <c r="M597" s="70"/>
      <c r="N597" s="70"/>
    </row>
    <row r="598" spans="11:14">
      <c r="K598" s="70"/>
      <c r="L598" s="70"/>
      <c r="M598" s="70"/>
      <c r="N598" s="70"/>
    </row>
    <row r="599" spans="11:14">
      <c r="K599" s="70"/>
      <c r="L599" s="70"/>
      <c r="M599" s="70"/>
      <c r="N599" s="70"/>
    </row>
    <row r="600" spans="11:14">
      <c r="K600" s="70"/>
      <c r="L600" s="70"/>
      <c r="M600" s="70"/>
      <c r="N600" s="70"/>
    </row>
    <row r="601" spans="11:14">
      <c r="K601" s="70"/>
      <c r="L601" s="70"/>
      <c r="M601" s="70"/>
      <c r="N601" s="70"/>
    </row>
    <row r="602" spans="11:14">
      <c r="K602" s="70"/>
      <c r="L602" s="70"/>
      <c r="M602" s="70"/>
      <c r="N602" s="70"/>
    </row>
    <row r="603" spans="11:14">
      <c r="K603" s="70"/>
      <c r="L603" s="70"/>
      <c r="M603" s="70"/>
      <c r="N603" s="70"/>
    </row>
    <row r="604" spans="11:14">
      <c r="K604" s="70"/>
      <c r="L604" s="70"/>
      <c r="M604" s="70"/>
      <c r="N604" s="70"/>
    </row>
    <row r="605" spans="11:14">
      <c r="K605" s="70"/>
      <c r="L605" s="70"/>
      <c r="M605" s="70"/>
      <c r="N605" s="70"/>
    </row>
    <row r="606" spans="11:14">
      <c r="K606" s="70"/>
      <c r="L606" s="70"/>
      <c r="M606" s="70"/>
      <c r="N606" s="70"/>
    </row>
    <row r="607" spans="11:14">
      <c r="K607" s="70"/>
      <c r="L607" s="70"/>
      <c r="M607" s="70"/>
      <c r="N607" s="70"/>
    </row>
    <row r="608" spans="11:14">
      <c r="K608" s="70"/>
      <c r="L608" s="70"/>
      <c r="M608" s="70"/>
      <c r="N608" s="70"/>
    </row>
    <row r="609" spans="11:14">
      <c r="K609" s="70"/>
      <c r="L609" s="70"/>
      <c r="M609" s="70"/>
      <c r="N609" s="70"/>
    </row>
    <row r="610" spans="11:14">
      <c r="K610" s="70"/>
      <c r="L610" s="70"/>
      <c r="M610" s="70"/>
      <c r="N610" s="70"/>
    </row>
    <row r="611" spans="11:14">
      <c r="K611" s="70"/>
      <c r="L611" s="70"/>
      <c r="M611" s="70"/>
      <c r="N611" s="70"/>
    </row>
    <row r="612" spans="11:14">
      <c r="K612" s="70"/>
      <c r="L612" s="70"/>
      <c r="M612" s="70"/>
      <c r="N612" s="70"/>
    </row>
    <row r="613" spans="11:14">
      <c r="K613" s="70"/>
      <c r="L613" s="70"/>
      <c r="M613" s="70"/>
      <c r="N613" s="70"/>
    </row>
    <row r="614" spans="11:14">
      <c r="K614" s="70"/>
      <c r="L614" s="70"/>
      <c r="M614" s="70"/>
      <c r="N614" s="70"/>
    </row>
    <row r="615" spans="11:14">
      <c r="K615" s="70"/>
      <c r="L615" s="70"/>
      <c r="M615" s="70"/>
      <c r="N615" s="70"/>
    </row>
    <row r="616" spans="11:14">
      <c r="K616" s="70"/>
      <c r="L616" s="70"/>
      <c r="M616" s="70"/>
      <c r="N616" s="70"/>
    </row>
    <row r="617" spans="11:14">
      <c r="K617" s="70"/>
      <c r="L617" s="70"/>
      <c r="M617" s="70"/>
      <c r="N617" s="70"/>
    </row>
    <row r="618" spans="11:14">
      <c r="K618" s="70"/>
      <c r="L618" s="70"/>
      <c r="M618" s="70"/>
      <c r="N618" s="70"/>
    </row>
    <row r="619" spans="11:14">
      <c r="K619" s="70"/>
      <c r="L619" s="70"/>
      <c r="M619" s="70"/>
      <c r="N619" s="70"/>
    </row>
    <row r="620" spans="11:14">
      <c r="K620" s="70"/>
      <c r="L620" s="70"/>
      <c r="M620" s="70"/>
      <c r="N620" s="70"/>
    </row>
    <row r="621" spans="11:14">
      <c r="K621" s="70"/>
      <c r="L621" s="70"/>
      <c r="M621" s="70"/>
      <c r="N621" s="70"/>
    </row>
    <row r="622" spans="11:14">
      <c r="K622" s="70"/>
      <c r="L622" s="70"/>
      <c r="M622" s="70"/>
      <c r="N622" s="70"/>
    </row>
    <row r="623" spans="11:14">
      <c r="K623" s="70"/>
      <c r="L623" s="70"/>
      <c r="M623" s="70"/>
      <c r="N623" s="70"/>
    </row>
    <row r="624" spans="11:14">
      <c r="K624" s="70"/>
      <c r="L624" s="70"/>
      <c r="M624" s="70"/>
      <c r="N624" s="70"/>
    </row>
    <row r="625" spans="11:14">
      <c r="K625" s="70"/>
      <c r="L625" s="70"/>
      <c r="M625" s="70"/>
      <c r="N625" s="70"/>
    </row>
    <row r="626" spans="11:14">
      <c r="K626" s="70"/>
      <c r="L626" s="70"/>
      <c r="M626" s="70"/>
      <c r="N626" s="70"/>
    </row>
    <row r="627" spans="11:14">
      <c r="K627" s="70"/>
      <c r="L627" s="70"/>
      <c r="M627" s="70"/>
      <c r="N627" s="70"/>
    </row>
    <row r="628" spans="11:14">
      <c r="K628" s="70"/>
      <c r="L628" s="70"/>
      <c r="M628" s="70"/>
      <c r="N628" s="70"/>
    </row>
    <row r="629" spans="11:14">
      <c r="K629" s="70"/>
      <c r="L629" s="70"/>
      <c r="M629" s="70"/>
      <c r="N629" s="70"/>
    </row>
    <row r="630" spans="11:14">
      <c r="K630" s="70"/>
      <c r="L630" s="70"/>
      <c r="M630" s="70"/>
      <c r="N630" s="70"/>
    </row>
    <row r="631" spans="11:14">
      <c r="K631" s="70"/>
      <c r="L631" s="70"/>
      <c r="M631" s="70"/>
      <c r="N631" s="70"/>
    </row>
    <row r="632" spans="11:14">
      <c r="K632" s="70"/>
      <c r="L632" s="70"/>
      <c r="M632" s="70"/>
      <c r="N632" s="70"/>
    </row>
    <row r="633" spans="11:14">
      <c r="K633" s="70"/>
      <c r="L633" s="70"/>
      <c r="M633" s="70"/>
      <c r="N633" s="70"/>
    </row>
    <row r="634" spans="11:14">
      <c r="K634" s="70"/>
      <c r="L634" s="70"/>
      <c r="M634" s="70"/>
      <c r="N634" s="70"/>
    </row>
    <row r="635" spans="11:14">
      <c r="K635" s="70"/>
      <c r="L635" s="70"/>
      <c r="M635" s="70"/>
      <c r="N635" s="70"/>
    </row>
    <row r="636" spans="11:14">
      <c r="K636" s="70"/>
      <c r="L636" s="70"/>
      <c r="M636" s="70"/>
      <c r="N636" s="70"/>
    </row>
    <row r="637" spans="11:14">
      <c r="K637" s="70"/>
      <c r="L637" s="70"/>
      <c r="M637" s="70"/>
      <c r="N637" s="70"/>
    </row>
    <row r="638" spans="11:14">
      <c r="K638" s="70"/>
      <c r="L638" s="70"/>
      <c r="M638" s="70"/>
      <c r="N638" s="70"/>
    </row>
    <row r="639" spans="11:14">
      <c r="K639" s="70"/>
      <c r="L639" s="70"/>
      <c r="M639" s="70"/>
      <c r="N639" s="70"/>
    </row>
    <row r="640" spans="11:14">
      <c r="K640" s="70"/>
      <c r="L640" s="70"/>
      <c r="M640" s="70"/>
      <c r="N640" s="70"/>
    </row>
    <row r="641" spans="11:14">
      <c r="K641" s="70"/>
      <c r="L641" s="70"/>
      <c r="M641" s="70"/>
      <c r="N641" s="70"/>
    </row>
    <row r="642" spans="11:14">
      <c r="K642" s="70"/>
      <c r="L642" s="70"/>
      <c r="M642" s="70"/>
      <c r="N642" s="70"/>
    </row>
    <row r="643" spans="11:14">
      <c r="K643" s="70"/>
      <c r="L643" s="70"/>
      <c r="M643" s="70"/>
      <c r="N643" s="70"/>
    </row>
    <row r="644" spans="11:14">
      <c r="K644" s="70"/>
      <c r="L644" s="70"/>
      <c r="M644" s="70"/>
      <c r="N644" s="70"/>
    </row>
    <row r="645" spans="11:14">
      <c r="K645" s="70"/>
      <c r="L645" s="70"/>
      <c r="M645" s="70"/>
      <c r="N645" s="70"/>
    </row>
    <row r="646" spans="11:14">
      <c r="K646" s="70"/>
      <c r="L646" s="70"/>
      <c r="M646" s="70"/>
      <c r="N646" s="70"/>
    </row>
    <row r="647" spans="11:14">
      <c r="K647" s="70"/>
      <c r="L647" s="70"/>
      <c r="M647" s="70"/>
      <c r="N647" s="70"/>
    </row>
    <row r="648" spans="11:14">
      <c r="K648" s="70"/>
      <c r="L648" s="70"/>
      <c r="M648" s="70"/>
      <c r="N648" s="70"/>
    </row>
    <row r="649" spans="11:14">
      <c r="K649" s="70"/>
      <c r="L649" s="70"/>
      <c r="M649" s="70"/>
      <c r="N649" s="70"/>
    </row>
    <row r="650" spans="11:14">
      <c r="K650" s="70"/>
      <c r="L650" s="70"/>
      <c r="M650" s="70"/>
      <c r="N650" s="70"/>
    </row>
    <row r="651" spans="11:14">
      <c r="K651" s="70"/>
      <c r="L651" s="70"/>
      <c r="M651" s="70"/>
      <c r="N651" s="70"/>
    </row>
    <row r="652" spans="11:14">
      <c r="K652" s="70"/>
      <c r="L652" s="70"/>
      <c r="M652" s="70"/>
      <c r="N652" s="70"/>
    </row>
    <row r="653" spans="11:14">
      <c r="K653" s="70"/>
      <c r="L653" s="70"/>
      <c r="M653" s="70"/>
      <c r="N653" s="70"/>
    </row>
    <row r="654" spans="11:14">
      <c r="K654" s="70"/>
      <c r="L654" s="70"/>
      <c r="M654" s="70"/>
      <c r="N654" s="70"/>
    </row>
    <row r="655" spans="11:14">
      <c r="K655" s="70"/>
      <c r="L655" s="70"/>
      <c r="M655" s="70"/>
      <c r="N655" s="70"/>
    </row>
    <row r="656" spans="11:14">
      <c r="K656" s="70"/>
      <c r="L656" s="70"/>
      <c r="M656" s="70"/>
      <c r="N656" s="70"/>
    </row>
    <row r="657" spans="11:14">
      <c r="K657" s="70"/>
      <c r="L657" s="70"/>
      <c r="M657" s="70"/>
      <c r="N657" s="70"/>
    </row>
    <row r="658" spans="11:14">
      <c r="K658" s="70"/>
      <c r="L658" s="70"/>
      <c r="M658" s="70"/>
      <c r="N658" s="70"/>
    </row>
    <row r="659" spans="11:14">
      <c r="K659" s="70"/>
      <c r="L659" s="70"/>
      <c r="M659" s="70"/>
      <c r="N659" s="70"/>
    </row>
    <row r="660" spans="11:14">
      <c r="K660" s="70"/>
      <c r="L660" s="70"/>
      <c r="M660" s="70"/>
      <c r="N660" s="70"/>
    </row>
    <row r="661" spans="11:14">
      <c r="K661" s="70"/>
      <c r="L661" s="70"/>
      <c r="M661" s="70"/>
      <c r="N661" s="70"/>
    </row>
    <row r="662" spans="11:14">
      <c r="K662" s="70"/>
      <c r="L662" s="70"/>
      <c r="M662" s="70"/>
      <c r="N662" s="70"/>
    </row>
    <row r="663" spans="11:14">
      <c r="K663" s="70"/>
      <c r="L663" s="70"/>
      <c r="M663" s="70"/>
      <c r="N663" s="70"/>
    </row>
    <row r="664" spans="11:14">
      <c r="K664" s="70"/>
      <c r="L664" s="70"/>
      <c r="M664" s="70"/>
      <c r="N664" s="70"/>
    </row>
    <row r="665" spans="11:14">
      <c r="K665" s="70"/>
      <c r="L665" s="70"/>
      <c r="M665" s="70"/>
      <c r="N665" s="70"/>
    </row>
    <row r="666" spans="11:14">
      <c r="K666" s="70"/>
      <c r="L666" s="70"/>
      <c r="M666" s="70"/>
      <c r="N666" s="70"/>
    </row>
    <row r="667" spans="11:14">
      <c r="K667" s="70"/>
      <c r="L667" s="70"/>
      <c r="M667" s="70"/>
      <c r="N667" s="70"/>
    </row>
    <row r="668" spans="11:14">
      <c r="K668" s="70"/>
      <c r="L668" s="70"/>
      <c r="M668" s="70"/>
      <c r="N668" s="70"/>
    </row>
    <row r="669" spans="11:14">
      <c r="K669" s="70"/>
      <c r="L669" s="70"/>
      <c r="M669" s="70"/>
      <c r="N669" s="70"/>
    </row>
    <row r="670" spans="11:14">
      <c r="K670" s="70"/>
      <c r="L670" s="70"/>
      <c r="M670" s="70"/>
      <c r="N670" s="70"/>
    </row>
    <row r="671" spans="11:14">
      <c r="K671" s="70"/>
      <c r="L671" s="70"/>
      <c r="M671" s="70"/>
      <c r="N671" s="70"/>
    </row>
    <row r="672" spans="11:14">
      <c r="K672" s="70"/>
      <c r="L672" s="70"/>
      <c r="M672" s="70"/>
      <c r="N672" s="70"/>
    </row>
    <row r="673" spans="11:14">
      <c r="K673" s="70"/>
      <c r="L673" s="70"/>
      <c r="M673" s="70"/>
      <c r="N673" s="70"/>
    </row>
    <row r="674" spans="11:14">
      <c r="K674" s="70"/>
      <c r="L674" s="70"/>
      <c r="M674" s="70"/>
      <c r="N674" s="70"/>
    </row>
    <row r="675" spans="11:14">
      <c r="K675" s="70"/>
      <c r="L675" s="70"/>
      <c r="M675" s="70"/>
      <c r="N675" s="70"/>
    </row>
    <row r="676" spans="11:14">
      <c r="K676" s="70"/>
      <c r="L676" s="70"/>
      <c r="M676" s="70"/>
      <c r="N676" s="70"/>
    </row>
    <row r="677" spans="11:14">
      <c r="K677" s="70"/>
      <c r="L677" s="70"/>
      <c r="M677" s="70"/>
      <c r="N677" s="70"/>
    </row>
    <row r="678" spans="11:14">
      <c r="K678" s="70"/>
      <c r="L678" s="70"/>
      <c r="M678" s="70"/>
      <c r="N678" s="70"/>
    </row>
    <row r="679" spans="11:14">
      <c r="K679" s="70"/>
      <c r="L679" s="70"/>
      <c r="M679" s="70"/>
      <c r="N679" s="70"/>
    </row>
    <row r="680" spans="11:14">
      <c r="K680" s="70"/>
      <c r="L680" s="70"/>
      <c r="M680" s="70"/>
      <c r="N680" s="70"/>
    </row>
    <row r="681" spans="11:14">
      <c r="K681" s="70"/>
      <c r="L681" s="70"/>
      <c r="M681" s="70"/>
      <c r="N681" s="70"/>
    </row>
    <row r="682" spans="11:14">
      <c r="K682" s="70"/>
      <c r="L682" s="70"/>
      <c r="M682" s="70"/>
      <c r="N682" s="70"/>
    </row>
    <row r="683" spans="11:14">
      <c r="K683" s="70"/>
      <c r="L683" s="70"/>
      <c r="M683" s="70"/>
      <c r="N683" s="70"/>
    </row>
    <row r="684" spans="11:14">
      <c r="K684" s="70"/>
      <c r="L684" s="70"/>
      <c r="M684" s="70"/>
      <c r="N684" s="70"/>
    </row>
    <row r="685" spans="11:14">
      <c r="K685" s="70"/>
      <c r="L685" s="70"/>
      <c r="M685" s="70"/>
      <c r="N685" s="70"/>
    </row>
    <row r="686" spans="11:14">
      <c r="K686" s="70"/>
      <c r="L686" s="70"/>
      <c r="M686" s="70"/>
      <c r="N686" s="70"/>
    </row>
    <row r="687" spans="11:14">
      <c r="K687" s="70"/>
      <c r="L687" s="70"/>
      <c r="M687" s="70"/>
      <c r="N687" s="70"/>
    </row>
    <row r="688" spans="11:14">
      <c r="K688" s="70"/>
      <c r="L688" s="70"/>
      <c r="M688" s="70"/>
      <c r="N688" s="70"/>
    </row>
    <row r="689" spans="11:14">
      <c r="K689" s="70"/>
      <c r="L689" s="70"/>
      <c r="M689" s="70"/>
      <c r="N689" s="70"/>
    </row>
    <row r="690" spans="11:14">
      <c r="K690" s="70"/>
      <c r="L690" s="70"/>
      <c r="M690" s="70"/>
      <c r="N690" s="70"/>
    </row>
    <row r="691" spans="11:14">
      <c r="K691" s="70"/>
      <c r="L691" s="70"/>
      <c r="M691" s="70"/>
      <c r="N691" s="70"/>
    </row>
    <row r="692" spans="11:14">
      <c r="K692" s="70"/>
      <c r="L692" s="70"/>
      <c r="M692" s="70"/>
      <c r="N692" s="70"/>
    </row>
    <row r="693" spans="11:14">
      <c r="K693" s="70"/>
      <c r="L693" s="70"/>
      <c r="M693" s="70"/>
      <c r="N693" s="70"/>
    </row>
    <row r="694" spans="11:14">
      <c r="K694" s="70"/>
      <c r="L694" s="70"/>
      <c r="M694" s="70"/>
      <c r="N694" s="70"/>
    </row>
    <row r="695" spans="11:14">
      <c r="K695" s="70"/>
      <c r="L695" s="70"/>
      <c r="M695" s="70"/>
      <c r="N695" s="70"/>
    </row>
    <row r="696" spans="11:14">
      <c r="K696" s="70"/>
      <c r="L696" s="70"/>
      <c r="M696" s="70"/>
      <c r="N696" s="70"/>
    </row>
    <row r="697" spans="11:14">
      <c r="K697" s="70"/>
      <c r="L697" s="70"/>
      <c r="M697" s="70"/>
      <c r="N697" s="70"/>
    </row>
    <row r="698" spans="11:14">
      <c r="K698" s="70"/>
      <c r="L698" s="70"/>
      <c r="M698" s="70"/>
      <c r="N698" s="70"/>
    </row>
    <row r="699" spans="11:14">
      <c r="K699" s="70"/>
      <c r="L699" s="70"/>
      <c r="M699" s="70"/>
      <c r="N699" s="70"/>
    </row>
    <row r="700" spans="11:14">
      <c r="K700" s="70"/>
      <c r="L700" s="70"/>
      <c r="M700" s="70"/>
      <c r="N700" s="70"/>
    </row>
    <row r="701" spans="11:14">
      <c r="K701" s="70"/>
      <c r="L701" s="70"/>
      <c r="M701" s="70"/>
      <c r="N701" s="70"/>
    </row>
    <row r="702" spans="11:14">
      <c r="K702" s="70"/>
      <c r="L702" s="70"/>
      <c r="M702" s="70"/>
      <c r="N702" s="70"/>
    </row>
    <row r="703" spans="11:14">
      <c r="K703" s="70"/>
      <c r="L703" s="70"/>
      <c r="M703" s="70"/>
      <c r="N703" s="70"/>
    </row>
    <row r="704" spans="11:14">
      <c r="K704" s="70"/>
      <c r="L704" s="70"/>
      <c r="M704" s="70"/>
      <c r="N704" s="70"/>
    </row>
    <row r="705" spans="11:14">
      <c r="K705" s="70"/>
      <c r="L705" s="70"/>
      <c r="M705" s="70"/>
      <c r="N705" s="70"/>
    </row>
    <row r="706" spans="11:14">
      <c r="K706" s="70"/>
      <c r="L706" s="70"/>
      <c r="M706" s="70"/>
      <c r="N706" s="70"/>
    </row>
    <row r="707" spans="11:14">
      <c r="K707" s="70"/>
      <c r="L707" s="70"/>
      <c r="M707" s="70"/>
      <c r="N707" s="70"/>
    </row>
    <row r="708" spans="11:14">
      <c r="K708" s="70"/>
      <c r="L708" s="70"/>
      <c r="M708" s="70"/>
      <c r="N708" s="70"/>
    </row>
    <row r="709" spans="11:14">
      <c r="K709" s="70"/>
      <c r="L709" s="70"/>
      <c r="M709" s="70"/>
      <c r="N709" s="70"/>
    </row>
    <row r="710" spans="11:14">
      <c r="K710" s="70"/>
      <c r="L710" s="70"/>
      <c r="M710" s="70"/>
      <c r="N710" s="70"/>
    </row>
    <row r="711" spans="11:14">
      <c r="K711" s="70"/>
      <c r="L711" s="70"/>
      <c r="M711" s="70"/>
      <c r="N711" s="70"/>
    </row>
    <row r="712" spans="11:14">
      <c r="K712" s="70"/>
      <c r="L712" s="70"/>
      <c r="M712" s="70"/>
      <c r="N712" s="70"/>
    </row>
    <row r="713" spans="11:14">
      <c r="K713" s="70"/>
      <c r="L713" s="70"/>
      <c r="M713" s="70"/>
      <c r="N713" s="70"/>
    </row>
    <row r="714" spans="11:14">
      <c r="K714" s="70"/>
      <c r="L714" s="70"/>
      <c r="M714" s="70"/>
      <c r="N714" s="70"/>
    </row>
    <row r="715" spans="11:14">
      <c r="K715" s="70"/>
      <c r="L715" s="70"/>
      <c r="M715" s="70"/>
      <c r="N715" s="70"/>
    </row>
    <row r="716" spans="11:14">
      <c r="K716" s="70"/>
      <c r="L716" s="70"/>
      <c r="M716" s="70"/>
      <c r="N716" s="70"/>
    </row>
    <row r="717" spans="11:14">
      <c r="K717" s="70"/>
      <c r="L717" s="70"/>
      <c r="M717" s="70"/>
      <c r="N717" s="70"/>
    </row>
    <row r="718" spans="11:14">
      <c r="K718" s="70"/>
      <c r="L718" s="70"/>
      <c r="M718" s="70"/>
      <c r="N718" s="70"/>
    </row>
    <row r="719" spans="11:14">
      <c r="K719" s="70"/>
      <c r="L719" s="70"/>
      <c r="M719" s="70"/>
      <c r="N719" s="70"/>
    </row>
    <row r="720" spans="11:14">
      <c r="K720" s="70"/>
      <c r="L720" s="70"/>
      <c r="M720" s="70"/>
      <c r="N720" s="70"/>
    </row>
    <row r="721" spans="11:14">
      <c r="K721" s="70"/>
      <c r="L721" s="70"/>
      <c r="M721" s="70"/>
      <c r="N721" s="70"/>
    </row>
    <row r="722" spans="11:14">
      <c r="K722" s="70"/>
      <c r="L722" s="70"/>
      <c r="M722" s="70"/>
      <c r="N722" s="70"/>
    </row>
    <row r="723" spans="11:14">
      <c r="K723" s="70"/>
      <c r="L723" s="70"/>
      <c r="M723" s="70"/>
      <c r="N723" s="70"/>
    </row>
    <row r="724" spans="11:14">
      <c r="K724" s="70"/>
      <c r="L724" s="70"/>
      <c r="M724" s="70"/>
      <c r="N724" s="70"/>
    </row>
    <row r="725" spans="11:14">
      <c r="K725" s="70"/>
      <c r="L725" s="70"/>
      <c r="M725" s="70"/>
      <c r="N725" s="70"/>
    </row>
    <row r="726" spans="11:14">
      <c r="K726" s="70"/>
      <c r="L726" s="70"/>
      <c r="M726" s="70"/>
      <c r="N726" s="70"/>
    </row>
    <row r="727" spans="11:14">
      <c r="K727" s="70"/>
      <c r="L727" s="70"/>
      <c r="M727" s="70"/>
      <c r="N727" s="70"/>
    </row>
    <row r="728" spans="11:14">
      <c r="K728" s="70"/>
      <c r="L728" s="70"/>
      <c r="M728" s="70"/>
      <c r="N728" s="70"/>
    </row>
    <row r="729" spans="11:14">
      <c r="K729" s="70"/>
      <c r="L729" s="70"/>
      <c r="M729" s="70"/>
      <c r="N729" s="70"/>
    </row>
    <row r="730" spans="11:14">
      <c r="K730" s="70"/>
      <c r="L730" s="70"/>
      <c r="M730" s="70"/>
      <c r="N730" s="70"/>
    </row>
    <row r="731" spans="11:14">
      <c r="K731" s="70"/>
      <c r="L731" s="70"/>
      <c r="M731" s="70"/>
      <c r="N731" s="70"/>
    </row>
    <row r="732" spans="11:14">
      <c r="K732" s="70"/>
      <c r="L732" s="70"/>
      <c r="M732" s="70"/>
      <c r="N732" s="70"/>
    </row>
    <row r="733" spans="11:14">
      <c r="K733" s="70"/>
      <c r="L733" s="70"/>
      <c r="M733" s="70"/>
      <c r="N733" s="70"/>
    </row>
    <row r="734" spans="11:14">
      <c r="K734" s="70"/>
      <c r="L734" s="70"/>
      <c r="M734" s="70"/>
      <c r="N734" s="70"/>
    </row>
    <row r="735" spans="11:14">
      <c r="K735" s="70"/>
      <c r="L735" s="70"/>
      <c r="M735" s="70"/>
      <c r="N735" s="70"/>
    </row>
    <row r="736" spans="11:14">
      <c r="K736" s="70"/>
      <c r="L736" s="70"/>
      <c r="M736" s="70"/>
      <c r="N736" s="70"/>
    </row>
    <row r="737" spans="11:14">
      <c r="K737" s="70"/>
      <c r="L737" s="70"/>
      <c r="M737" s="70"/>
      <c r="N737" s="70"/>
    </row>
    <row r="738" spans="11:14">
      <c r="K738" s="70"/>
      <c r="L738" s="70"/>
      <c r="M738" s="70"/>
      <c r="N738" s="70"/>
    </row>
    <row r="739" spans="11:14">
      <c r="K739" s="70"/>
      <c r="L739" s="70"/>
      <c r="M739" s="70"/>
      <c r="N739" s="70"/>
    </row>
    <row r="740" spans="11:14">
      <c r="K740" s="70"/>
      <c r="L740" s="70"/>
      <c r="M740" s="70"/>
      <c r="N740" s="70"/>
    </row>
    <row r="741" spans="11:14">
      <c r="K741" s="70"/>
      <c r="L741" s="70"/>
      <c r="M741" s="70"/>
      <c r="N741" s="70"/>
    </row>
    <row r="742" spans="11:14">
      <c r="K742" s="70"/>
      <c r="L742" s="70"/>
      <c r="M742" s="70"/>
      <c r="N742" s="70"/>
    </row>
    <row r="743" spans="11:14">
      <c r="K743" s="70"/>
      <c r="L743" s="70"/>
      <c r="M743" s="70"/>
      <c r="N743" s="70"/>
    </row>
    <row r="744" spans="11:14">
      <c r="K744" s="70"/>
      <c r="L744" s="70"/>
      <c r="M744" s="70"/>
      <c r="N744" s="70"/>
    </row>
    <row r="745" spans="11:14">
      <c r="K745" s="70"/>
      <c r="L745" s="70"/>
      <c r="M745" s="70"/>
      <c r="N745" s="70"/>
    </row>
    <row r="746" spans="11:14">
      <c r="K746" s="70"/>
      <c r="L746" s="70"/>
      <c r="M746" s="70"/>
      <c r="N746" s="70"/>
    </row>
    <row r="747" spans="11:14">
      <c r="K747" s="70"/>
      <c r="L747" s="70"/>
      <c r="M747" s="70"/>
      <c r="N747" s="70"/>
    </row>
    <row r="748" spans="11:14">
      <c r="K748" s="70"/>
      <c r="L748" s="70"/>
      <c r="M748" s="70"/>
      <c r="N748" s="70"/>
    </row>
    <row r="749" spans="11:14">
      <c r="K749" s="70"/>
      <c r="L749" s="70"/>
      <c r="M749" s="70"/>
      <c r="N749" s="70"/>
    </row>
    <row r="750" spans="11:14">
      <c r="K750" s="70"/>
      <c r="L750" s="70"/>
      <c r="M750" s="70"/>
      <c r="N750" s="70"/>
    </row>
    <row r="751" spans="11:14">
      <c r="K751" s="70"/>
      <c r="L751" s="70"/>
      <c r="M751" s="70"/>
      <c r="N751" s="70"/>
    </row>
    <row r="752" spans="11:14">
      <c r="K752" s="70"/>
      <c r="L752" s="70"/>
      <c r="M752" s="70"/>
      <c r="N752" s="70"/>
    </row>
    <row r="753" spans="11:14">
      <c r="K753" s="70"/>
      <c r="L753" s="70"/>
      <c r="M753" s="70"/>
      <c r="N753" s="70"/>
    </row>
    <row r="754" spans="11:14">
      <c r="K754" s="70"/>
      <c r="L754" s="70"/>
      <c r="M754" s="70"/>
      <c r="N754" s="70"/>
    </row>
    <row r="755" spans="11:14">
      <c r="K755" s="70"/>
      <c r="L755" s="70"/>
      <c r="M755" s="70"/>
      <c r="N755" s="70"/>
    </row>
    <row r="756" spans="11:14">
      <c r="K756" s="70"/>
      <c r="L756" s="70"/>
      <c r="M756" s="70"/>
      <c r="N756" s="70"/>
    </row>
    <row r="757" spans="11:14">
      <c r="K757" s="70"/>
      <c r="L757" s="70"/>
      <c r="M757" s="70"/>
      <c r="N757" s="70"/>
    </row>
    <row r="758" spans="11:14">
      <c r="K758" s="70"/>
      <c r="L758" s="70"/>
      <c r="M758" s="70"/>
      <c r="N758" s="70"/>
    </row>
    <row r="759" spans="11:14">
      <c r="K759" s="70"/>
      <c r="L759" s="70"/>
      <c r="M759" s="70"/>
      <c r="N759" s="70"/>
    </row>
    <row r="760" spans="11:14">
      <c r="K760" s="70"/>
      <c r="L760" s="70"/>
      <c r="M760" s="70"/>
      <c r="N760" s="70"/>
    </row>
    <row r="761" spans="11:14">
      <c r="K761" s="70"/>
      <c r="L761" s="70"/>
      <c r="M761" s="70"/>
      <c r="N761" s="70"/>
    </row>
    <row r="762" spans="11:14">
      <c r="K762" s="70"/>
      <c r="L762" s="70"/>
      <c r="M762" s="70"/>
      <c r="N762" s="70"/>
    </row>
    <row r="763" spans="11:14">
      <c r="K763" s="70"/>
      <c r="L763" s="70"/>
      <c r="M763" s="70"/>
      <c r="N763" s="70"/>
    </row>
    <row r="764" spans="11:14">
      <c r="K764" s="70"/>
      <c r="L764" s="70"/>
      <c r="M764" s="70"/>
      <c r="N764" s="70"/>
    </row>
    <row r="765" spans="11:14">
      <c r="K765" s="70"/>
      <c r="L765" s="70"/>
      <c r="M765" s="70"/>
      <c r="N765" s="70"/>
    </row>
    <row r="766" spans="11:14">
      <c r="K766" s="70"/>
      <c r="L766" s="70"/>
      <c r="M766" s="70"/>
      <c r="N766" s="70"/>
    </row>
    <row r="767" spans="11:14">
      <c r="K767" s="70"/>
      <c r="L767" s="70"/>
      <c r="M767" s="70"/>
      <c r="N767" s="70"/>
    </row>
    <row r="768" spans="11:14">
      <c r="K768" s="70"/>
      <c r="L768" s="70"/>
      <c r="M768" s="70"/>
      <c r="N768" s="70"/>
    </row>
    <row r="769" spans="11:14">
      <c r="K769" s="70"/>
      <c r="L769" s="70"/>
      <c r="M769" s="70"/>
      <c r="N769" s="70"/>
    </row>
    <row r="770" spans="11:14">
      <c r="K770" s="70"/>
      <c r="L770" s="70"/>
      <c r="M770" s="70"/>
      <c r="N770" s="70"/>
    </row>
    <row r="771" spans="11:14">
      <c r="K771" s="70"/>
      <c r="L771" s="70"/>
      <c r="M771" s="70"/>
      <c r="N771" s="70"/>
    </row>
    <row r="772" spans="11:14">
      <c r="K772" s="70"/>
      <c r="L772" s="70"/>
      <c r="M772" s="70"/>
      <c r="N772" s="70"/>
    </row>
    <row r="773" spans="11:14">
      <c r="K773" s="70"/>
      <c r="L773" s="70"/>
      <c r="M773" s="70"/>
      <c r="N773" s="70"/>
    </row>
    <row r="774" spans="11:14">
      <c r="K774" s="70"/>
      <c r="L774" s="70"/>
      <c r="M774" s="70"/>
      <c r="N774" s="70"/>
    </row>
    <row r="775" spans="11:14">
      <c r="K775" s="70"/>
      <c r="L775" s="70"/>
      <c r="M775" s="70"/>
      <c r="N775" s="70"/>
    </row>
    <row r="776" spans="11:14">
      <c r="K776" s="70"/>
      <c r="L776" s="70"/>
      <c r="M776" s="70"/>
      <c r="N776" s="70"/>
    </row>
    <row r="777" spans="11:14">
      <c r="K777" s="70"/>
      <c r="L777" s="70"/>
      <c r="M777" s="70"/>
      <c r="N777" s="70"/>
    </row>
    <row r="778" spans="11:14">
      <c r="K778" s="70"/>
      <c r="L778" s="70"/>
      <c r="M778" s="70"/>
      <c r="N778" s="70"/>
    </row>
    <row r="779" spans="11:14">
      <c r="K779" s="70"/>
      <c r="L779" s="70"/>
      <c r="M779" s="70"/>
      <c r="N779" s="70"/>
    </row>
    <row r="780" spans="11:14">
      <c r="K780" s="70"/>
      <c r="L780" s="70"/>
      <c r="M780" s="70"/>
      <c r="N780" s="70"/>
    </row>
    <row r="781" spans="11:14">
      <c r="K781" s="70"/>
      <c r="L781" s="70"/>
      <c r="M781" s="70"/>
      <c r="N781" s="70"/>
    </row>
    <row r="782" spans="11:14">
      <c r="K782" s="70"/>
      <c r="L782" s="70"/>
      <c r="M782" s="70"/>
      <c r="N782" s="70"/>
    </row>
    <row r="783" spans="11:14">
      <c r="K783" s="70"/>
      <c r="L783" s="70"/>
      <c r="M783" s="70"/>
      <c r="N783" s="70"/>
    </row>
    <row r="784" spans="11:14">
      <c r="K784" s="70"/>
      <c r="L784" s="70"/>
      <c r="M784" s="70"/>
      <c r="N784" s="70"/>
    </row>
    <row r="785" spans="11:14">
      <c r="K785" s="70"/>
      <c r="L785" s="70"/>
      <c r="M785" s="70"/>
      <c r="N785" s="70"/>
    </row>
    <row r="786" spans="11:14">
      <c r="K786" s="70"/>
      <c r="L786" s="70"/>
      <c r="M786" s="70"/>
      <c r="N786" s="70"/>
    </row>
    <row r="787" spans="11:14">
      <c r="K787" s="70"/>
      <c r="L787" s="70"/>
      <c r="M787" s="70"/>
      <c r="N787" s="70"/>
    </row>
    <row r="788" spans="11:14">
      <c r="K788" s="70"/>
      <c r="L788" s="70"/>
      <c r="M788" s="70"/>
      <c r="N788" s="70"/>
    </row>
    <row r="789" spans="11:14">
      <c r="K789" s="70"/>
      <c r="L789" s="70"/>
      <c r="M789" s="70"/>
      <c r="N789" s="70"/>
    </row>
    <row r="790" spans="11:14">
      <c r="K790" s="70"/>
      <c r="L790" s="70"/>
      <c r="M790" s="70"/>
      <c r="N790" s="70"/>
    </row>
    <row r="791" spans="11:14">
      <c r="K791" s="70"/>
      <c r="L791" s="70"/>
      <c r="M791" s="70"/>
      <c r="N791" s="70"/>
    </row>
    <row r="792" spans="11:14">
      <c r="K792" s="70"/>
      <c r="L792" s="70"/>
      <c r="M792" s="70"/>
      <c r="N792" s="70"/>
    </row>
    <row r="793" spans="11:14">
      <c r="K793" s="70"/>
      <c r="L793" s="70"/>
      <c r="M793" s="70"/>
      <c r="N793" s="70"/>
    </row>
    <row r="794" spans="11:14">
      <c r="K794" s="70"/>
      <c r="L794" s="70"/>
      <c r="M794" s="70"/>
      <c r="N794" s="70"/>
    </row>
    <row r="795" spans="11:14">
      <c r="K795" s="70"/>
      <c r="L795" s="70"/>
      <c r="M795" s="70"/>
      <c r="N795" s="70"/>
    </row>
    <row r="796" spans="11:14">
      <c r="K796" s="70"/>
      <c r="L796" s="70"/>
      <c r="M796" s="70"/>
      <c r="N796" s="70"/>
    </row>
    <row r="797" spans="11:14">
      <c r="K797" s="70"/>
      <c r="L797" s="70"/>
      <c r="M797" s="70"/>
      <c r="N797" s="70"/>
    </row>
    <row r="798" spans="11:14">
      <c r="K798" s="70"/>
      <c r="L798" s="70"/>
      <c r="M798" s="70"/>
      <c r="N798" s="70"/>
    </row>
    <row r="799" spans="11:14">
      <c r="K799" s="70"/>
      <c r="L799" s="70"/>
      <c r="M799" s="70"/>
      <c r="N799" s="70"/>
    </row>
    <row r="800" spans="11:14">
      <c r="K800" s="70"/>
      <c r="L800" s="70"/>
      <c r="M800" s="70"/>
      <c r="N800" s="70"/>
    </row>
    <row r="801" spans="11:14">
      <c r="K801" s="70"/>
      <c r="L801" s="70"/>
      <c r="M801" s="70"/>
      <c r="N801" s="70"/>
    </row>
    <row r="802" spans="11:14">
      <c r="K802" s="70"/>
      <c r="L802" s="70"/>
      <c r="M802" s="70"/>
      <c r="N802" s="70"/>
    </row>
    <row r="803" spans="11:14">
      <c r="K803" s="70"/>
      <c r="L803" s="70"/>
      <c r="M803" s="70"/>
      <c r="N803" s="70"/>
    </row>
    <row r="804" spans="11:14">
      <c r="K804" s="70"/>
      <c r="L804" s="70"/>
      <c r="M804" s="70"/>
      <c r="N804" s="70"/>
    </row>
    <row r="805" spans="11:14">
      <c r="K805" s="70"/>
      <c r="L805" s="70"/>
      <c r="M805" s="70"/>
      <c r="N805" s="70"/>
    </row>
    <row r="806" spans="11:14">
      <c r="K806" s="70"/>
      <c r="L806" s="70"/>
      <c r="M806" s="70"/>
      <c r="N806" s="70"/>
    </row>
    <row r="807" spans="11:14">
      <c r="K807" s="70"/>
      <c r="L807" s="70"/>
      <c r="M807" s="70"/>
      <c r="N807" s="70"/>
    </row>
    <row r="808" spans="11:14">
      <c r="K808" s="70"/>
      <c r="L808" s="70"/>
      <c r="M808" s="70"/>
      <c r="N808" s="70"/>
    </row>
    <row r="809" spans="11:14">
      <c r="K809" s="70"/>
      <c r="L809" s="70"/>
      <c r="M809" s="70"/>
      <c r="N809" s="70"/>
    </row>
    <row r="810" spans="11:14">
      <c r="K810" s="70"/>
      <c r="L810" s="70"/>
      <c r="M810" s="70"/>
      <c r="N810" s="70"/>
    </row>
    <row r="811" spans="11:14">
      <c r="K811" s="70"/>
      <c r="L811" s="70"/>
      <c r="M811" s="70"/>
      <c r="N811" s="70"/>
    </row>
    <row r="812" spans="11:14">
      <c r="K812" s="70"/>
      <c r="L812" s="70"/>
      <c r="M812" s="70"/>
      <c r="N812" s="70"/>
    </row>
    <row r="813" spans="11:14">
      <c r="K813" s="70"/>
      <c r="L813" s="70"/>
      <c r="M813" s="70"/>
      <c r="N813" s="70"/>
    </row>
    <row r="814" spans="11:14">
      <c r="K814" s="70"/>
      <c r="L814" s="70"/>
      <c r="M814" s="70"/>
      <c r="N814" s="70"/>
    </row>
    <row r="815" spans="11:14">
      <c r="K815" s="70"/>
      <c r="L815" s="70"/>
      <c r="M815" s="70"/>
      <c r="N815" s="70"/>
    </row>
    <row r="816" spans="11:14">
      <c r="K816" s="70"/>
      <c r="L816" s="70"/>
      <c r="M816" s="70"/>
      <c r="N816" s="70"/>
    </row>
    <row r="817" spans="11:14">
      <c r="K817" s="70"/>
      <c r="L817" s="70"/>
      <c r="M817" s="70"/>
      <c r="N817" s="70"/>
    </row>
    <row r="818" spans="11:14">
      <c r="K818" s="70"/>
      <c r="L818" s="70"/>
      <c r="M818" s="70"/>
      <c r="N818" s="70"/>
    </row>
    <row r="819" spans="11:14">
      <c r="K819" s="70"/>
      <c r="L819" s="70"/>
      <c r="M819" s="70"/>
      <c r="N819" s="70"/>
    </row>
    <row r="820" spans="11:14">
      <c r="K820" s="70"/>
      <c r="L820" s="70"/>
      <c r="M820" s="70"/>
      <c r="N820" s="70"/>
    </row>
    <row r="821" spans="11:14">
      <c r="K821" s="70"/>
      <c r="L821" s="70"/>
      <c r="M821" s="70"/>
      <c r="N821" s="70"/>
    </row>
    <row r="822" spans="11:14">
      <c r="K822" s="70"/>
      <c r="L822" s="70"/>
      <c r="M822" s="70"/>
      <c r="N822" s="70"/>
    </row>
    <row r="823" spans="11:14">
      <c r="K823" s="70"/>
      <c r="L823" s="70"/>
      <c r="M823" s="70"/>
      <c r="N823" s="70"/>
    </row>
    <row r="824" spans="11:14">
      <c r="K824" s="70"/>
      <c r="L824" s="70"/>
      <c r="M824" s="70"/>
      <c r="N824" s="70"/>
    </row>
    <row r="825" spans="11:14">
      <c r="K825" s="70"/>
      <c r="L825" s="70"/>
      <c r="M825" s="70"/>
      <c r="N825" s="70"/>
    </row>
    <row r="826" spans="11:14">
      <c r="K826" s="70"/>
      <c r="L826" s="70"/>
      <c r="M826" s="70"/>
      <c r="N826" s="70"/>
    </row>
    <row r="827" spans="11:14">
      <c r="K827" s="70"/>
      <c r="L827" s="70"/>
      <c r="M827" s="70"/>
      <c r="N827" s="70"/>
    </row>
    <row r="828" spans="11:14">
      <c r="K828" s="70"/>
      <c r="L828" s="70"/>
      <c r="M828" s="70"/>
      <c r="N828" s="70"/>
    </row>
    <row r="829" spans="11:14">
      <c r="K829" s="70"/>
      <c r="L829" s="70"/>
      <c r="M829" s="70"/>
      <c r="N829" s="70"/>
    </row>
    <row r="830" spans="11:14">
      <c r="K830" s="70"/>
      <c r="L830" s="70"/>
      <c r="M830" s="70"/>
      <c r="N830" s="70"/>
    </row>
    <row r="831" spans="11:14">
      <c r="K831" s="70"/>
      <c r="L831" s="70"/>
      <c r="M831" s="70"/>
      <c r="N831" s="70"/>
    </row>
    <row r="832" spans="11:14">
      <c r="K832" s="70"/>
      <c r="L832" s="70"/>
      <c r="M832" s="70"/>
      <c r="N832" s="70"/>
    </row>
    <row r="833" spans="11:14">
      <c r="K833" s="70"/>
      <c r="L833" s="70"/>
      <c r="M833" s="70"/>
      <c r="N833" s="70"/>
    </row>
    <row r="834" spans="11:14">
      <c r="K834" s="70"/>
      <c r="L834" s="70"/>
      <c r="M834" s="70"/>
      <c r="N834" s="70"/>
    </row>
    <row r="835" spans="11:14">
      <c r="K835" s="70"/>
      <c r="L835" s="70"/>
      <c r="M835" s="70"/>
      <c r="N835" s="70"/>
    </row>
    <row r="836" spans="11:14">
      <c r="K836" s="70"/>
      <c r="L836" s="70"/>
      <c r="M836" s="70"/>
      <c r="N836" s="70"/>
    </row>
    <row r="837" spans="11:14">
      <c r="K837" s="70"/>
      <c r="L837" s="70"/>
      <c r="M837" s="70"/>
      <c r="N837" s="70"/>
    </row>
    <row r="838" spans="11:14">
      <c r="K838" s="70"/>
      <c r="L838" s="70"/>
      <c r="M838" s="70"/>
      <c r="N838" s="70"/>
    </row>
    <row r="839" spans="11:14">
      <c r="K839" s="70"/>
      <c r="L839" s="70"/>
      <c r="M839" s="70"/>
      <c r="N839" s="70"/>
    </row>
    <row r="840" spans="11:14">
      <c r="K840" s="70"/>
      <c r="L840" s="70"/>
      <c r="M840" s="70"/>
      <c r="N840" s="70"/>
    </row>
    <row r="841" spans="11:14">
      <c r="K841" s="70"/>
      <c r="L841" s="70"/>
      <c r="M841" s="70"/>
      <c r="N841" s="70"/>
    </row>
    <row r="842" spans="11:14">
      <c r="K842" s="70"/>
      <c r="L842" s="70"/>
      <c r="M842" s="70"/>
      <c r="N842" s="70"/>
    </row>
    <row r="843" spans="11:14">
      <c r="K843" s="70"/>
      <c r="L843" s="70"/>
      <c r="M843" s="70"/>
      <c r="N843" s="70"/>
    </row>
    <row r="844" spans="11:14">
      <c r="K844" s="70"/>
      <c r="L844" s="70"/>
      <c r="M844" s="70"/>
      <c r="N844" s="70"/>
    </row>
    <row r="845" spans="11:14">
      <c r="K845" s="70"/>
      <c r="L845" s="70"/>
      <c r="M845" s="70"/>
      <c r="N845" s="70"/>
    </row>
    <row r="846" spans="11:14">
      <c r="K846" s="70"/>
      <c r="L846" s="70"/>
      <c r="M846" s="70"/>
      <c r="N846" s="70"/>
    </row>
    <row r="847" spans="11:14">
      <c r="K847" s="70"/>
      <c r="L847" s="70"/>
      <c r="M847" s="70"/>
      <c r="N847" s="70"/>
    </row>
    <row r="848" spans="11:14">
      <c r="K848" s="70"/>
      <c r="L848" s="70"/>
      <c r="M848" s="70"/>
      <c r="N848" s="70"/>
    </row>
    <row r="849" spans="11:14">
      <c r="K849" s="70"/>
      <c r="L849" s="70"/>
      <c r="M849" s="70"/>
      <c r="N849" s="70"/>
    </row>
    <row r="850" spans="11:14">
      <c r="K850" s="70"/>
      <c r="L850" s="70"/>
      <c r="M850" s="70"/>
      <c r="N850" s="70"/>
    </row>
    <row r="851" spans="11:14">
      <c r="K851" s="70"/>
      <c r="L851" s="70"/>
      <c r="M851" s="70"/>
      <c r="N851" s="70"/>
    </row>
    <row r="852" spans="11:14">
      <c r="K852" s="70"/>
      <c r="L852" s="70"/>
      <c r="M852" s="70"/>
      <c r="N852" s="70"/>
    </row>
    <row r="853" spans="11:14">
      <c r="K853" s="70"/>
      <c r="L853" s="70"/>
      <c r="M853" s="70"/>
      <c r="N853" s="70"/>
    </row>
    <row r="854" spans="11:14">
      <c r="K854" s="70"/>
      <c r="L854" s="70"/>
      <c r="M854" s="70"/>
      <c r="N854" s="70"/>
    </row>
    <row r="855" spans="11:14">
      <c r="K855" s="70"/>
      <c r="L855" s="70"/>
      <c r="M855" s="70"/>
      <c r="N855" s="70"/>
    </row>
    <row r="856" spans="11:14">
      <c r="K856" s="70"/>
      <c r="L856" s="70"/>
      <c r="M856" s="70"/>
      <c r="N856" s="70"/>
    </row>
    <row r="857" spans="11:14">
      <c r="K857" s="70"/>
      <c r="L857" s="70"/>
      <c r="M857" s="70"/>
      <c r="N857" s="70"/>
    </row>
    <row r="858" spans="11:14">
      <c r="K858" s="70"/>
      <c r="L858" s="70"/>
      <c r="M858" s="70"/>
      <c r="N858" s="70"/>
    </row>
    <row r="859" spans="11:14">
      <c r="K859" s="70"/>
      <c r="L859" s="70"/>
      <c r="M859" s="70"/>
      <c r="N859" s="70"/>
    </row>
    <row r="860" spans="11:14">
      <c r="K860" s="70"/>
      <c r="L860" s="70"/>
      <c r="M860" s="70"/>
      <c r="N860" s="70"/>
    </row>
    <row r="861" spans="11:14">
      <c r="K861" s="70"/>
      <c r="L861" s="70"/>
      <c r="M861" s="70"/>
      <c r="N861" s="70"/>
    </row>
    <row r="862" spans="11:14">
      <c r="K862" s="70"/>
      <c r="L862" s="70"/>
      <c r="M862" s="70"/>
      <c r="N862" s="70"/>
    </row>
    <row r="863" spans="11:14">
      <c r="K863" s="70"/>
      <c r="L863" s="70"/>
      <c r="M863" s="70"/>
      <c r="N863" s="70"/>
    </row>
    <row r="864" spans="11:14">
      <c r="K864" s="70"/>
      <c r="L864" s="70"/>
      <c r="M864" s="70"/>
      <c r="N864" s="70"/>
    </row>
    <row r="865" spans="11:14">
      <c r="K865" s="70"/>
      <c r="L865" s="70"/>
      <c r="M865" s="70"/>
      <c r="N865" s="70"/>
    </row>
    <row r="866" spans="11:14">
      <c r="K866" s="70"/>
      <c r="L866" s="70"/>
      <c r="M866" s="70"/>
      <c r="N866" s="70"/>
    </row>
    <row r="867" spans="11:14">
      <c r="K867" s="70"/>
      <c r="L867" s="70"/>
      <c r="M867" s="70"/>
      <c r="N867" s="70"/>
    </row>
    <row r="868" spans="11:14">
      <c r="K868" s="70"/>
      <c r="L868" s="70"/>
      <c r="M868" s="70"/>
      <c r="N868" s="70"/>
    </row>
    <row r="869" spans="11:14">
      <c r="K869" s="70"/>
      <c r="L869" s="70"/>
      <c r="M869" s="70"/>
      <c r="N869" s="70"/>
    </row>
    <row r="870" spans="11:14">
      <c r="K870" s="70"/>
      <c r="L870" s="70"/>
      <c r="M870" s="70"/>
      <c r="N870" s="70"/>
    </row>
    <row r="871" spans="11:14">
      <c r="K871" s="70"/>
      <c r="L871" s="70"/>
      <c r="M871" s="70"/>
      <c r="N871" s="70"/>
    </row>
    <row r="872" spans="11:14">
      <c r="K872" s="70"/>
      <c r="L872" s="70"/>
      <c r="M872" s="70"/>
      <c r="N872" s="70"/>
    </row>
    <row r="873" spans="11:14">
      <c r="K873" s="70"/>
      <c r="L873" s="70"/>
      <c r="M873" s="70"/>
      <c r="N873" s="70"/>
    </row>
    <row r="874" spans="11:14">
      <c r="K874" s="70"/>
      <c r="L874" s="70"/>
      <c r="M874" s="70"/>
      <c r="N874" s="70"/>
    </row>
    <row r="875" spans="11:14">
      <c r="K875" s="70"/>
      <c r="L875" s="70"/>
      <c r="M875" s="70"/>
      <c r="N875" s="70"/>
    </row>
    <row r="876" spans="11:14">
      <c r="K876" s="70"/>
      <c r="L876" s="70"/>
      <c r="M876" s="70"/>
      <c r="N876" s="70"/>
    </row>
    <row r="877" spans="11:14">
      <c r="K877" s="70"/>
      <c r="L877" s="70"/>
      <c r="M877" s="70"/>
      <c r="N877" s="70"/>
    </row>
    <row r="878" spans="11:14">
      <c r="K878" s="70"/>
      <c r="L878" s="70"/>
      <c r="M878" s="70"/>
      <c r="N878" s="70"/>
    </row>
    <row r="879" spans="11:14">
      <c r="K879" s="70"/>
      <c r="L879" s="70"/>
      <c r="M879" s="70"/>
      <c r="N879" s="70"/>
    </row>
    <row r="880" spans="11:14">
      <c r="K880" s="70"/>
      <c r="L880" s="70"/>
      <c r="M880" s="70"/>
      <c r="N880" s="70"/>
    </row>
    <row r="881" spans="11:14">
      <c r="K881" s="70"/>
      <c r="L881" s="70"/>
      <c r="M881" s="70"/>
      <c r="N881" s="70"/>
    </row>
    <row r="882" spans="11:14">
      <c r="K882" s="70"/>
      <c r="L882" s="70"/>
      <c r="M882" s="70"/>
      <c r="N882" s="70"/>
    </row>
    <row r="883" spans="11:14">
      <c r="K883" s="70"/>
      <c r="L883" s="70"/>
      <c r="M883" s="70"/>
      <c r="N883" s="70"/>
    </row>
    <row r="884" spans="11:14">
      <c r="K884" s="70"/>
      <c r="L884" s="70"/>
      <c r="M884" s="70"/>
      <c r="N884" s="70"/>
    </row>
    <row r="885" spans="11:14">
      <c r="K885" s="70"/>
      <c r="L885" s="70"/>
      <c r="M885" s="70"/>
      <c r="N885" s="70"/>
    </row>
    <row r="886" spans="11:14">
      <c r="K886" s="70"/>
      <c r="L886" s="70"/>
      <c r="M886" s="70"/>
      <c r="N886" s="70"/>
    </row>
    <row r="887" spans="11:14">
      <c r="K887" s="70"/>
      <c r="L887" s="70"/>
      <c r="M887" s="70"/>
      <c r="N887" s="70"/>
    </row>
    <row r="888" spans="11:14">
      <c r="K888" s="70"/>
      <c r="L888" s="70"/>
      <c r="M888" s="70"/>
      <c r="N888" s="70"/>
    </row>
    <row r="889" spans="11:14">
      <c r="K889" s="70"/>
      <c r="L889" s="70"/>
      <c r="M889" s="70"/>
      <c r="N889" s="70"/>
    </row>
    <row r="890" spans="11:14">
      <c r="K890" s="70"/>
      <c r="L890" s="70"/>
      <c r="M890" s="70"/>
      <c r="N890" s="70"/>
    </row>
    <row r="891" spans="11:14">
      <c r="K891" s="70"/>
      <c r="L891" s="70"/>
      <c r="M891" s="70"/>
      <c r="N891" s="70"/>
    </row>
    <row r="892" spans="11:14">
      <c r="K892" s="70"/>
      <c r="L892" s="70"/>
      <c r="M892" s="70"/>
      <c r="N892" s="70"/>
    </row>
    <row r="893" spans="11:14">
      <c r="K893" s="70"/>
      <c r="L893" s="70"/>
      <c r="M893" s="70"/>
      <c r="N893" s="70"/>
    </row>
    <row r="894" spans="11:14">
      <c r="K894" s="70"/>
      <c r="L894" s="70"/>
      <c r="M894" s="70"/>
      <c r="N894" s="70"/>
    </row>
    <row r="895" spans="11:14">
      <c r="K895" s="70"/>
      <c r="L895" s="70"/>
      <c r="M895" s="70"/>
      <c r="N895" s="70"/>
    </row>
    <row r="896" spans="11:14">
      <c r="K896" s="70"/>
      <c r="L896" s="70"/>
      <c r="M896" s="70"/>
      <c r="N896" s="70"/>
    </row>
    <row r="897" spans="11:14">
      <c r="K897" s="70"/>
      <c r="L897" s="70"/>
      <c r="M897" s="70"/>
      <c r="N897" s="70"/>
    </row>
    <row r="898" spans="11:14">
      <c r="K898" s="70"/>
      <c r="L898" s="70"/>
      <c r="M898" s="70"/>
      <c r="N898" s="70"/>
    </row>
    <row r="899" spans="11:14">
      <c r="K899" s="70"/>
      <c r="L899" s="70"/>
      <c r="M899" s="70"/>
      <c r="N899" s="70"/>
    </row>
    <row r="900" spans="11:14">
      <c r="K900" s="70"/>
      <c r="L900" s="70"/>
      <c r="M900" s="70"/>
      <c r="N900" s="70"/>
    </row>
    <row r="901" spans="11:14">
      <c r="K901" s="70"/>
      <c r="L901" s="70"/>
      <c r="M901" s="70"/>
      <c r="N901" s="70"/>
    </row>
    <row r="902" spans="11:14">
      <c r="K902" s="70"/>
      <c r="L902" s="70"/>
      <c r="M902" s="70"/>
      <c r="N902" s="70"/>
    </row>
    <row r="903" spans="11:14">
      <c r="K903" s="70"/>
      <c r="L903" s="70"/>
      <c r="M903" s="70"/>
      <c r="N903" s="70"/>
    </row>
    <row r="904" spans="11:14">
      <c r="K904" s="70"/>
      <c r="L904" s="70"/>
      <c r="M904" s="70"/>
      <c r="N904" s="70"/>
    </row>
    <row r="905" spans="11:14">
      <c r="K905" s="70"/>
      <c r="L905" s="70"/>
      <c r="M905" s="70"/>
      <c r="N905" s="70"/>
    </row>
    <row r="906" spans="11:14">
      <c r="K906" s="70"/>
      <c r="L906" s="70"/>
      <c r="M906" s="70"/>
      <c r="N906" s="70"/>
    </row>
    <row r="907" spans="11:14">
      <c r="K907" s="70"/>
      <c r="L907" s="70"/>
      <c r="M907" s="70"/>
      <c r="N907" s="70"/>
    </row>
    <row r="908" spans="11:14">
      <c r="K908" s="70"/>
      <c r="L908" s="70"/>
      <c r="M908" s="70"/>
      <c r="N908" s="70"/>
    </row>
    <row r="909" spans="11:14">
      <c r="K909" s="70"/>
      <c r="L909" s="70"/>
      <c r="M909" s="70"/>
      <c r="N909" s="70"/>
    </row>
    <row r="910" spans="11:14">
      <c r="K910" s="70"/>
      <c r="L910" s="70"/>
      <c r="M910" s="70"/>
      <c r="N910" s="70"/>
    </row>
    <row r="911" spans="11:14">
      <c r="K911" s="70"/>
      <c r="L911" s="70"/>
      <c r="M911" s="70"/>
      <c r="N911" s="70"/>
    </row>
    <row r="912" spans="11:14">
      <c r="K912" s="70"/>
      <c r="L912" s="70"/>
      <c r="M912" s="70"/>
      <c r="N912" s="70"/>
    </row>
    <row r="913" spans="11:14">
      <c r="K913" s="70"/>
      <c r="L913" s="70"/>
      <c r="M913" s="70"/>
      <c r="N913" s="70"/>
    </row>
    <row r="914" spans="11:14">
      <c r="K914" s="70"/>
      <c r="L914" s="70"/>
      <c r="M914" s="70"/>
      <c r="N914" s="70"/>
    </row>
    <row r="915" spans="11:14">
      <c r="K915" s="70"/>
      <c r="L915" s="70"/>
      <c r="M915" s="70"/>
      <c r="N915" s="70"/>
    </row>
    <row r="916" spans="11:14">
      <c r="K916" s="70"/>
      <c r="L916" s="70"/>
      <c r="M916" s="70"/>
      <c r="N916" s="70"/>
    </row>
    <row r="917" spans="11:14">
      <c r="K917" s="70"/>
      <c r="L917" s="70"/>
      <c r="M917" s="70"/>
      <c r="N917" s="70"/>
    </row>
    <row r="918" spans="11:14">
      <c r="K918" s="70"/>
      <c r="L918" s="70"/>
      <c r="M918" s="70"/>
      <c r="N918" s="70"/>
    </row>
    <row r="919" spans="11:14">
      <c r="K919" s="70"/>
      <c r="L919" s="70"/>
      <c r="M919" s="70"/>
      <c r="N919" s="70"/>
    </row>
    <row r="920" spans="11:14">
      <c r="K920" s="70"/>
      <c r="L920" s="70"/>
      <c r="M920" s="70"/>
      <c r="N920" s="70"/>
    </row>
    <row r="921" spans="11:14">
      <c r="K921" s="70"/>
      <c r="L921" s="70"/>
      <c r="M921" s="70"/>
      <c r="N921" s="70"/>
    </row>
    <row r="922" spans="11:14">
      <c r="K922" s="70"/>
      <c r="L922" s="70"/>
      <c r="M922" s="70"/>
      <c r="N922" s="70"/>
    </row>
    <row r="923" spans="11:14">
      <c r="K923" s="70"/>
      <c r="L923" s="70"/>
      <c r="M923" s="70"/>
      <c r="N923" s="70"/>
    </row>
    <row r="924" spans="11:14">
      <c r="K924" s="70"/>
      <c r="L924" s="70"/>
      <c r="M924" s="70"/>
      <c r="N924" s="70"/>
    </row>
    <row r="925" spans="11:14">
      <c r="K925" s="70"/>
      <c r="L925" s="70"/>
      <c r="M925" s="70"/>
      <c r="N925" s="70"/>
    </row>
    <row r="926" spans="11:14">
      <c r="K926" s="70"/>
      <c r="L926" s="70"/>
      <c r="M926" s="70"/>
      <c r="N926" s="70"/>
    </row>
    <row r="927" spans="11:14">
      <c r="K927" s="70"/>
      <c r="L927" s="70"/>
      <c r="M927" s="70"/>
      <c r="N927" s="70"/>
    </row>
    <row r="928" spans="11:14">
      <c r="K928" s="70"/>
      <c r="L928" s="70"/>
      <c r="M928" s="70"/>
      <c r="N928" s="70"/>
    </row>
    <row r="929" spans="11:14">
      <c r="K929" s="70"/>
      <c r="L929" s="70"/>
      <c r="M929" s="70"/>
      <c r="N929" s="70"/>
    </row>
    <row r="930" spans="11:14">
      <c r="K930" s="70"/>
      <c r="L930" s="70"/>
      <c r="M930" s="70"/>
      <c r="N930" s="70"/>
    </row>
    <row r="931" spans="11:14">
      <c r="K931" s="70"/>
      <c r="L931" s="70"/>
      <c r="M931" s="70"/>
      <c r="N931" s="70"/>
    </row>
    <row r="932" spans="11:14">
      <c r="K932" s="70"/>
      <c r="L932" s="70"/>
      <c r="M932" s="70"/>
      <c r="N932" s="70"/>
    </row>
    <row r="933" spans="11:14">
      <c r="K933" s="70"/>
      <c r="L933" s="70"/>
      <c r="M933" s="70"/>
      <c r="N933" s="70"/>
    </row>
    <row r="934" spans="11:14">
      <c r="K934" s="70"/>
      <c r="L934" s="70"/>
      <c r="M934" s="70"/>
      <c r="N934" s="70"/>
    </row>
    <row r="935" spans="11:14">
      <c r="K935" s="70"/>
      <c r="L935" s="70"/>
      <c r="M935" s="70"/>
      <c r="N935" s="70"/>
    </row>
    <row r="936" spans="11:14">
      <c r="K936" s="70"/>
      <c r="L936" s="70"/>
      <c r="M936" s="70"/>
      <c r="N936" s="70"/>
    </row>
    <row r="937" spans="11:14">
      <c r="K937" s="70"/>
      <c r="L937" s="70"/>
      <c r="M937" s="70"/>
      <c r="N937" s="70"/>
    </row>
    <row r="938" spans="11:14">
      <c r="K938" s="70"/>
      <c r="L938" s="70"/>
      <c r="M938" s="70"/>
      <c r="N938" s="70"/>
    </row>
    <row r="939" spans="11:14">
      <c r="K939" s="70"/>
      <c r="L939" s="70"/>
      <c r="M939" s="70"/>
      <c r="N939" s="70"/>
    </row>
    <row r="940" spans="11:14">
      <c r="K940" s="70"/>
      <c r="L940" s="70"/>
      <c r="M940" s="70"/>
      <c r="N940" s="70"/>
    </row>
    <row r="941" spans="11:14">
      <c r="K941" s="70"/>
      <c r="L941" s="70"/>
      <c r="M941" s="70"/>
      <c r="N941" s="70"/>
    </row>
    <row r="942" spans="11:14">
      <c r="K942" s="70"/>
      <c r="L942" s="70"/>
      <c r="M942" s="70"/>
      <c r="N942" s="70"/>
    </row>
    <row r="943" spans="11:14">
      <c r="K943" s="70"/>
      <c r="L943" s="70"/>
      <c r="M943" s="70"/>
      <c r="N943" s="70"/>
    </row>
    <row r="944" spans="11:14">
      <c r="K944" s="70"/>
      <c r="L944" s="70"/>
      <c r="M944" s="70"/>
      <c r="N944" s="70"/>
    </row>
    <row r="945" spans="11:14">
      <c r="K945" s="70"/>
      <c r="L945" s="70"/>
      <c r="M945" s="70"/>
      <c r="N945" s="70"/>
    </row>
    <row r="946" spans="11:14">
      <c r="K946" s="70"/>
      <c r="L946" s="70"/>
      <c r="M946" s="70"/>
      <c r="N946" s="70"/>
    </row>
    <row r="947" spans="11:14">
      <c r="K947" s="70"/>
      <c r="L947" s="70"/>
      <c r="M947" s="70"/>
      <c r="N947" s="70"/>
    </row>
    <row r="948" spans="11:14">
      <c r="K948" s="70"/>
      <c r="L948" s="70"/>
      <c r="M948" s="70"/>
      <c r="N948" s="70"/>
    </row>
    <row r="949" spans="11:14">
      <c r="K949" s="70"/>
      <c r="L949" s="70"/>
      <c r="M949" s="70"/>
      <c r="N949" s="70"/>
    </row>
    <row r="950" spans="11:14">
      <c r="K950" s="70"/>
      <c r="L950" s="70"/>
      <c r="M950" s="70"/>
      <c r="N950" s="70"/>
    </row>
    <row r="951" spans="11:14">
      <c r="K951" s="70"/>
      <c r="L951" s="70"/>
      <c r="M951" s="70"/>
      <c r="N951" s="70"/>
    </row>
    <row r="952" spans="11:14">
      <c r="K952" s="70"/>
      <c r="L952" s="70"/>
      <c r="M952" s="70"/>
      <c r="N952" s="70"/>
    </row>
    <row r="953" spans="11:14">
      <c r="K953" s="70"/>
      <c r="L953" s="70"/>
      <c r="M953" s="70"/>
      <c r="N953" s="70"/>
    </row>
    <row r="954" spans="11:14">
      <c r="K954" s="70"/>
      <c r="L954" s="70"/>
      <c r="M954" s="70"/>
      <c r="N954" s="70"/>
    </row>
    <row r="955" spans="11:14">
      <c r="K955" s="70"/>
      <c r="L955" s="70"/>
      <c r="M955" s="70"/>
      <c r="N955" s="70"/>
    </row>
    <row r="956" spans="11:14">
      <c r="K956" s="70"/>
      <c r="L956" s="70"/>
      <c r="M956" s="70"/>
      <c r="N956" s="70"/>
    </row>
    <row r="957" spans="11:14">
      <c r="K957" s="70"/>
      <c r="L957" s="70"/>
      <c r="M957" s="70"/>
      <c r="N957" s="70"/>
    </row>
    <row r="958" spans="11:14">
      <c r="K958" s="70"/>
      <c r="L958" s="70"/>
      <c r="M958" s="70"/>
      <c r="N958" s="70"/>
    </row>
    <row r="959" spans="11:14">
      <c r="K959" s="70"/>
      <c r="L959" s="70"/>
      <c r="M959" s="70"/>
      <c r="N959" s="70"/>
    </row>
    <row r="960" spans="11:14">
      <c r="K960" s="70"/>
      <c r="L960" s="70"/>
      <c r="M960" s="70"/>
      <c r="N960" s="70"/>
    </row>
    <row r="961" spans="11:14">
      <c r="K961" s="70"/>
      <c r="L961" s="70"/>
      <c r="M961" s="70"/>
      <c r="N961" s="70"/>
    </row>
    <row r="962" spans="11:14">
      <c r="K962" s="70"/>
      <c r="L962" s="70"/>
      <c r="M962" s="70"/>
      <c r="N962" s="70"/>
    </row>
    <row r="963" spans="11:14">
      <c r="K963" s="70"/>
      <c r="L963" s="70"/>
      <c r="M963" s="70"/>
      <c r="N963" s="70"/>
    </row>
    <row r="964" spans="11:14">
      <c r="K964" s="70"/>
      <c r="L964" s="70"/>
      <c r="M964" s="70"/>
      <c r="N964" s="70"/>
    </row>
    <row r="965" spans="11:14">
      <c r="K965" s="70"/>
      <c r="L965" s="70"/>
      <c r="M965" s="70"/>
      <c r="N965" s="70"/>
    </row>
    <row r="966" spans="11:14">
      <c r="K966" s="70"/>
      <c r="L966" s="70"/>
      <c r="M966" s="70"/>
      <c r="N966" s="70"/>
    </row>
    <row r="967" spans="11:14">
      <c r="K967" s="70"/>
      <c r="L967" s="70"/>
      <c r="M967" s="70"/>
      <c r="N967" s="70"/>
    </row>
    <row r="968" spans="11:14">
      <c r="K968" s="70"/>
      <c r="L968" s="70"/>
      <c r="M968" s="70"/>
      <c r="N968" s="70"/>
    </row>
    <row r="969" spans="11:14">
      <c r="K969" s="70"/>
      <c r="L969" s="70"/>
      <c r="M969" s="70"/>
      <c r="N969" s="70"/>
    </row>
    <row r="970" spans="11:14">
      <c r="K970" s="70"/>
      <c r="L970" s="70"/>
      <c r="M970" s="70"/>
      <c r="N970" s="70"/>
    </row>
    <row r="971" spans="11:14">
      <c r="K971" s="70"/>
      <c r="L971" s="70"/>
      <c r="M971" s="70"/>
      <c r="N971" s="70"/>
    </row>
    <row r="972" spans="11:14">
      <c r="K972" s="70"/>
      <c r="L972" s="70"/>
      <c r="M972" s="70"/>
      <c r="N972" s="70"/>
    </row>
    <row r="973" spans="11:14">
      <c r="K973" s="70"/>
      <c r="L973" s="70"/>
      <c r="M973" s="70"/>
      <c r="N973" s="70"/>
    </row>
    <row r="974" spans="11:14">
      <c r="K974" s="70"/>
      <c r="L974" s="70"/>
      <c r="M974" s="70"/>
      <c r="N974" s="70"/>
    </row>
    <row r="975" spans="11:14">
      <c r="K975" s="70"/>
      <c r="L975" s="70"/>
      <c r="M975" s="70"/>
      <c r="N975" s="70"/>
    </row>
    <row r="976" spans="11:14">
      <c r="K976" s="70"/>
      <c r="L976" s="70"/>
      <c r="M976" s="70"/>
      <c r="N976" s="70"/>
    </row>
    <row r="977" spans="11:14">
      <c r="K977" s="70"/>
      <c r="L977" s="70"/>
      <c r="M977" s="70"/>
      <c r="N977" s="70"/>
    </row>
    <row r="978" spans="11:14">
      <c r="K978" s="70"/>
      <c r="L978" s="70"/>
      <c r="M978" s="70"/>
      <c r="N978" s="70"/>
    </row>
    <row r="979" spans="11:14">
      <c r="K979" s="70"/>
      <c r="L979" s="70"/>
      <c r="M979" s="70"/>
      <c r="N979" s="70"/>
    </row>
    <row r="980" spans="11:14">
      <c r="K980" s="70"/>
      <c r="L980" s="70"/>
      <c r="M980" s="70"/>
      <c r="N980" s="70"/>
    </row>
    <row r="981" spans="11:14">
      <c r="K981" s="70"/>
      <c r="L981" s="70"/>
      <c r="M981" s="70"/>
      <c r="N981" s="70"/>
    </row>
    <row r="982" spans="11:14">
      <c r="K982" s="70"/>
      <c r="L982" s="70"/>
      <c r="M982" s="70"/>
      <c r="N982" s="70"/>
    </row>
    <row r="983" spans="11:14">
      <c r="K983" s="70"/>
      <c r="L983" s="70"/>
      <c r="M983" s="70"/>
      <c r="N983" s="70"/>
    </row>
    <row r="984" spans="11:14">
      <c r="K984" s="70"/>
      <c r="L984" s="70"/>
      <c r="M984" s="70"/>
      <c r="N984" s="70"/>
    </row>
    <row r="985" spans="11:14">
      <c r="K985" s="70"/>
      <c r="L985" s="70"/>
      <c r="M985" s="70"/>
      <c r="N985" s="70"/>
    </row>
    <row r="986" spans="11:14">
      <c r="K986" s="70"/>
      <c r="L986" s="70"/>
      <c r="M986" s="70"/>
      <c r="N986" s="70"/>
    </row>
    <row r="987" spans="11:14">
      <c r="K987" s="70"/>
      <c r="L987" s="70"/>
      <c r="M987" s="70"/>
      <c r="N987" s="70"/>
    </row>
    <row r="988" spans="11:14">
      <c r="K988" s="70"/>
      <c r="L988" s="70"/>
      <c r="M988" s="70"/>
      <c r="N988" s="70"/>
    </row>
    <row r="989" spans="11:14">
      <c r="K989" s="70"/>
      <c r="L989" s="70"/>
      <c r="M989" s="70"/>
      <c r="N989" s="70"/>
    </row>
    <row r="990" spans="11:14">
      <c r="K990" s="70"/>
      <c r="L990" s="70"/>
      <c r="M990" s="70"/>
      <c r="N990" s="70"/>
    </row>
    <row r="991" spans="11:14">
      <c r="K991" s="70"/>
      <c r="L991" s="70"/>
      <c r="M991" s="70"/>
      <c r="N991" s="70"/>
    </row>
    <row r="992" spans="11:14">
      <c r="K992" s="70"/>
      <c r="L992" s="70"/>
      <c r="M992" s="70"/>
      <c r="N992" s="70"/>
    </row>
    <row r="993" spans="11:14">
      <c r="K993" s="70"/>
      <c r="L993" s="70"/>
      <c r="M993" s="70"/>
      <c r="N993" s="70"/>
    </row>
    <row r="994" spans="11:14">
      <c r="K994" s="70"/>
      <c r="L994" s="70"/>
      <c r="M994" s="70"/>
      <c r="N994" s="70"/>
    </row>
    <row r="995" spans="11:14">
      <c r="K995" s="70"/>
      <c r="L995" s="70"/>
      <c r="M995" s="70"/>
      <c r="N995" s="70"/>
    </row>
    <row r="996" spans="11:14">
      <c r="K996" s="70"/>
      <c r="L996" s="70"/>
      <c r="M996" s="70"/>
      <c r="N996" s="70"/>
    </row>
    <row r="997" spans="11:14">
      <c r="K997" s="70"/>
      <c r="L997" s="70"/>
      <c r="M997" s="70"/>
      <c r="N997" s="70"/>
    </row>
    <row r="998" spans="11:14">
      <c r="K998" s="70"/>
      <c r="L998" s="70"/>
      <c r="M998" s="70"/>
      <c r="N998" s="70"/>
    </row>
    <row r="999" spans="11:14">
      <c r="K999" s="70"/>
      <c r="L999" s="70"/>
      <c r="M999" s="70"/>
      <c r="N999" s="70"/>
    </row>
    <row r="1000" spans="11:14">
      <c r="K1000" s="70"/>
      <c r="L1000" s="70"/>
      <c r="M1000" s="70"/>
      <c r="N1000" s="70"/>
    </row>
    <row r="1001" spans="11:14">
      <c r="K1001" s="70"/>
      <c r="L1001" s="70"/>
      <c r="M1001" s="70"/>
      <c r="N1001" s="70"/>
    </row>
    <row r="1002" spans="11:14">
      <c r="K1002" s="70"/>
      <c r="L1002" s="70"/>
      <c r="M1002" s="70"/>
      <c r="N1002" s="70"/>
    </row>
    <row r="1003" spans="11:14">
      <c r="K1003" s="70"/>
      <c r="L1003" s="70"/>
      <c r="M1003" s="70"/>
      <c r="N1003" s="70"/>
    </row>
    <row r="1004" spans="11:14">
      <c r="K1004" s="70"/>
      <c r="L1004" s="70"/>
      <c r="M1004" s="70"/>
      <c r="N1004" s="70"/>
    </row>
    <row r="1005" spans="11:14">
      <c r="K1005" s="70"/>
      <c r="L1005" s="70"/>
      <c r="M1005" s="70"/>
      <c r="N1005" s="70"/>
    </row>
    <row r="1006" spans="11:14">
      <c r="K1006" s="70"/>
      <c r="L1006" s="70"/>
      <c r="M1006" s="70"/>
      <c r="N1006" s="70"/>
    </row>
    <row r="1007" spans="11:14">
      <c r="K1007" s="70"/>
      <c r="L1007" s="70"/>
      <c r="M1007" s="70"/>
      <c r="N1007" s="70"/>
    </row>
    <row r="1008" spans="11:14">
      <c r="K1008" s="70"/>
      <c r="L1008" s="70"/>
      <c r="M1008" s="70"/>
      <c r="N1008" s="70"/>
    </row>
    <row r="1009" spans="11:14">
      <c r="K1009" s="70"/>
      <c r="L1009" s="70"/>
      <c r="M1009" s="70"/>
      <c r="N1009" s="70"/>
    </row>
    <row r="1010" spans="11:14">
      <c r="K1010" s="70"/>
      <c r="L1010" s="70"/>
      <c r="M1010" s="70"/>
      <c r="N1010" s="70"/>
    </row>
    <row r="1011" spans="11:14">
      <c r="K1011" s="70"/>
      <c r="L1011" s="70"/>
      <c r="M1011" s="70"/>
      <c r="N1011" s="70"/>
    </row>
    <row r="1012" spans="11:14">
      <c r="K1012" s="70"/>
      <c r="L1012" s="70"/>
      <c r="M1012" s="70"/>
      <c r="N1012" s="70"/>
    </row>
    <row r="1013" spans="11:14">
      <c r="K1013" s="70"/>
      <c r="L1013" s="70"/>
      <c r="M1013" s="70"/>
      <c r="N1013" s="70"/>
    </row>
    <row r="1014" spans="11:14">
      <c r="K1014" s="70"/>
      <c r="L1014" s="70"/>
      <c r="M1014" s="70"/>
      <c r="N1014" s="70"/>
    </row>
    <row r="1015" spans="11:14">
      <c r="K1015" s="70"/>
      <c r="L1015" s="70"/>
      <c r="M1015" s="70"/>
      <c r="N1015" s="70"/>
    </row>
    <row r="1016" spans="11:14">
      <c r="K1016" s="70"/>
      <c r="L1016" s="70"/>
      <c r="M1016" s="70"/>
      <c r="N1016" s="70"/>
    </row>
    <row r="1017" spans="11:14">
      <c r="K1017" s="70"/>
      <c r="L1017" s="70"/>
      <c r="M1017" s="70"/>
      <c r="N1017" s="70"/>
    </row>
    <row r="1018" spans="11:14">
      <c r="K1018" s="70"/>
      <c r="L1018" s="70"/>
      <c r="M1018" s="70"/>
      <c r="N1018" s="70"/>
    </row>
    <row r="1019" spans="11:14">
      <c r="K1019" s="70"/>
      <c r="L1019" s="70"/>
      <c r="M1019" s="70"/>
      <c r="N1019" s="70"/>
    </row>
    <row r="1020" spans="11:14">
      <c r="K1020" s="70"/>
      <c r="L1020" s="70"/>
      <c r="M1020" s="70"/>
      <c r="N1020" s="70"/>
    </row>
    <row r="1021" spans="11:14">
      <c r="K1021" s="70"/>
      <c r="L1021" s="70"/>
      <c r="M1021" s="70"/>
      <c r="N1021" s="70"/>
    </row>
    <row r="1022" spans="11:14">
      <c r="K1022" s="70"/>
      <c r="L1022" s="70"/>
      <c r="M1022" s="70"/>
      <c r="N1022" s="70"/>
    </row>
    <row r="1023" spans="11:14">
      <c r="K1023" s="70"/>
      <c r="L1023" s="70"/>
      <c r="M1023" s="70"/>
      <c r="N1023" s="70"/>
    </row>
    <row r="1024" spans="11:14">
      <c r="K1024" s="70"/>
      <c r="L1024" s="70"/>
      <c r="M1024" s="70"/>
      <c r="N1024" s="70"/>
    </row>
    <row r="1025" spans="11:14">
      <c r="K1025" s="70"/>
      <c r="L1025" s="70"/>
      <c r="M1025" s="70"/>
      <c r="N1025" s="70"/>
    </row>
    <row r="1026" spans="11:14">
      <c r="K1026" s="70"/>
      <c r="L1026" s="70"/>
      <c r="M1026" s="70"/>
      <c r="N1026" s="70"/>
    </row>
    <row r="1027" spans="11:14">
      <c r="K1027" s="70"/>
      <c r="L1027" s="70"/>
      <c r="M1027" s="70"/>
      <c r="N1027" s="70"/>
    </row>
    <row r="1028" spans="11:14">
      <c r="K1028" s="70"/>
      <c r="L1028" s="70"/>
      <c r="M1028" s="70"/>
      <c r="N1028" s="70"/>
    </row>
    <row r="1029" spans="11:14">
      <c r="K1029" s="70"/>
      <c r="L1029" s="70"/>
      <c r="M1029" s="70"/>
      <c r="N1029" s="70"/>
    </row>
    <row r="1030" spans="11:14">
      <c r="K1030" s="70"/>
      <c r="L1030" s="70"/>
      <c r="M1030" s="70"/>
      <c r="N1030" s="70"/>
    </row>
    <row r="1031" spans="11:14">
      <c r="K1031" s="70"/>
      <c r="L1031" s="70"/>
      <c r="M1031" s="70"/>
      <c r="N1031" s="70"/>
    </row>
    <row r="1032" spans="11:14">
      <c r="K1032" s="70"/>
      <c r="L1032" s="70"/>
      <c r="M1032" s="70"/>
      <c r="N1032" s="70"/>
    </row>
    <row r="1033" spans="11:14">
      <c r="K1033" s="70"/>
      <c r="L1033" s="70"/>
      <c r="M1033" s="70"/>
      <c r="N1033" s="70"/>
    </row>
    <row r="1034" spans="11:14">
      <c r="K1034" s="70"/>
      <c r="L1034" s="70"/>
      <c r="M1034" s="70"/>
      <c r="N1034" s="70"/>
    </row>
    <row r="1035" spans="11:14">
      <c r="K1035" s="70"/>
      <c r="L1035" s="70"/>
      <c r="M1035" s="70"/>
      <c r="N1035" s="70"/>
    </row>
    <row r="1036" spans="11:14">
      <c r="K1036" s="70"/>
      <c r="L1036" s="70"/>
      <c r="M1036" s="70"/>
      <c r="N1036" s="70"/>
    </row>
    <row r="1037" spans="11:14">
      <c r="K1037" s="70"/>
      <c r="L1037" s="70"/>
      <c r="M1037" s="70"/>
      <c r="N1037" s="70"/>
    </row>
    <row r="1038" spans="11:14">
      <c r="K1038" s="70"/>
      <c r="L1038" s="70"/>
      <c r="M1038" s="70"/>
      <c r="N1038" s="70"/>
    </row>
    <row r="1039" spans="11:14">
      <c r="K1039" s="70"/>
      <c r="L1039" s="70"/>
      <c r="M1039" s="70"/>
      <c r="N1039" s="70"/>
    </row>
    <row r="1040" spans="11:14">
      <c r="K1040" s="70"/>
      <c r="L1040" s="70"/>
      <c r="M1040" s="70"/>
      <c r="N1040" s="70"/>
    </row>
    <row r="1041" spans="11:14">
      <c r="K1041" s="70"/>
      <c r="L1041" s="70"/>
      <c r="M1041" s="70"/>
      <c r="N1041" s="70"/>
    </row>
    <row r="1042" spans="11:14">
      <c r="K1042" s="70"/>
      <c r="L1042" s="70"/>
      <c r="M1042" s="70"/>
      <c r="N1042" s="70"/>
    </row>
    <row r="1043" spans="11:14">
      <c r="K1043" s="70"/>
      <c r="L1043" s="70"/>
      <c r="M1043" s="70"/>
      <c r="N1043" s="70"/>
    </row>
    <row r="1044" spans="11:14">
      <c r="K1044" s="70"/>
      <c r="L1044" s="70"/>
      <c r="M1044" s="70"/>
      <c r="N1044" s="70"/>
    </row>
    <row r="1045" spans="11:14">
      <c r="K1045" s="70"/>
      <c r="L1045" s="70"/>
      <c r="M1045" s="70"/>
      <c r="N1045" s="70"/>
    </row>
    <row r="1046" spans="11:14">
      <c r="K1046" s="70"/>
      <c r="L1046" s="70"/>
      <c r="M1046" s="70"/>
      <c r="N1046" s="70"/>
    </row>
    <row r="1047" spans="11:14">
      <c r="K1047" s="70"/>
      <c r="L1047" s="70"/>
      <c r="M1047" s="70"/>
      <c r="N1047" s="70"/>
    </row>
    <row r="1048" spans="11:14">
      <c r="K1048" s="70"/>
      <c r="L1048" s="70"/>
      <c r="M1048" s="70"/>
      <c r="N1048" s="70"/>
    </row>
    <row r="1049" spans="11:14">
      <c r="K1049" s="70"/>
      <c r="L1049" s="70"/>
      <c r="M1049" s="70"/>
      <c r="N1049" s="70"/>
    </row>
    <row r="1050" spans="11:14">
      <c r="K1050" s="70"/>
      <c r="L1050" s="70"/>
      <c r="M1050" s="70"/>
      <c r="N1050" s="70"/>
    </row>
    <row r="1051" spans="11:14">
      <c r="K1051" s="70"/>
      <c r="L1051" s="70"/>
      <c r="M1051" s="70"/>
      <c r="N1051" s="70"/>
    </row>
    <row r="1052" spans="11:14">
      <c r="K1052" s="70"/>
      <c r="L1052" s="70"/>
      <c r="M1052" s="70"/>
      <c r="N1052" s="70"/>
    </row>
    <row r="1053" spans="11:14">
      <c r="K1053" s="70"/>
      <c r="L1053" s="70"/>
      <c r="M1053" s="70"/>
      <c r="N1053" s="70"/>
    </row>
    <row r="1054" spans="11:14">
      <c r="K1054" s="70"/>
      <c r="L1054" s="70"/>
      <c r="M1054" s="70"/>
      <c r="N1054" s="70"/>
    </row>
    <row r="1055" spans="11:14">
      <c r="K1055" s="70"/>
      <c r="L1055" s="70"/>
      <c r="M1055" s="70"/>
      <c r="N1055" s="70"/>
    </row>
    <row r="1056" spans="11:14">
      <c r="K1056" s="70"/>
      <c r="L1056" s="70"/>
      <c r="M1056" s="70"/>
      <c r="N1056" s="70"/>
    </row>
    <row r="1057" spans="11:14">
      <c r="K1057" s="70"/>
      <c r="L1057" s="70"/>
      <c r="M1057" s="70"/>
      <c r="N1057" s="70"/>
    </row>
    <row r="1058" spans="11:14">
      <c r="K1058" s="70"/>
      <c r="L1058" s="70"/>
      <c r="M1058" s="70"/>
      <c r="N1058" s="70"/>
    </row>
    <row r="1059" spans="11:14">
      <c r="K1059" s="70"/>
      <c r="L1059" s="70"/>
      <c r="M1059" s="70"/>
      <c r="N1059" s="70"/>
    </row>
    <row r="1060" spans="11:14">
      <c r="K1060" s="70"/>
      <c r="L1060" s="70"/>
      <c r="M1060" s="70"/>
      <c r="N1060" s="70"/>
    </row>
    <row r="1061" spans="11:14">
      <c r="K1061" s="70"/>
      <c r="L1061" s="70"/>
      <c r="M1061" s="70"/>
      <c r="N1061" s="70"/>
    </row>
    <row r="1062" spans="11:14">
      <c r="K1062" s="70"/>
      <c r="L1062" s="70"/>
      <c r="M1062" s="70"/>
      <c r="N1062" s="70"/>
    </row>
    <row r="1063" spans="11:14">
      <c r="K1063" s="70"/>
      <c r="L1063" s="70"/>
      <c r="M1063" s="70"/>
      <c r="N1063" s="70"/>
    </row>
    <row r="1064" spans="11:14">
      <c r="K1064" s="70"/>
      <c r="L1064" s="70"/>
      <c r="M1064" s="70"/>
      <c r="N1064" s="70"/>
    </row>
    <row r="1065" spans="11:14">
      <c r="K1065" s="70"/>
      <c r="L1065" s="70"/>
      <c r="M1065" s="70"/>
      <c r="N1065" s="70"/>
    </row>
    <row r="1066" spans="11:14">
      <c r="K1066" s="70"/>
      <c r="L1066" s="70"/>
      <c r="M1066" s="70"/>
      <c r="N1066" s="70"/>
    </row>
    <row r="1067" spans="11:14">
      <c r="K1067" s="70"/>
      <c r="L1067" s="70"/>
      <c r="M1067" s="70"/>
      <c r="N1067" s="70"/>
    </row>
    <row r="1068" spans="11:14">
      <c r="K1068" s="70"/>
      <c r="L1068" s="70"/>
      <c r="M1068" s="70"/>
      <c r="N1068" s="70"/>
    </row>
    <row r="1069" spans="11:14">
      <c r="K1069" s="70"/>
      <c r="L1069" s="70"/>
      <c r="M1069" s="70"/>
      <c r="N1069" s="70"/>
    </row>
    <row r="1070" spans="11:14">
      <c r="K1070" s="70"/>
      <c r="L1070" s="70"/>
      <c r="M1070" s="70"/>
      <c r="N1070" s="70"/>
    </row>
    <row r="1071" spans="11:14">
      <c r="K1071" s="70"/>
      <c r="L1071" s="70"/>
      <c r="M1071" s="70"/>
      <c r="N1071" s="70"/>
    </row>
    <row r="1072" spans="11:14">
      <c r="K1072" s="70"/>
      <c r="L1072" s="70"/>
      <c r="M1072" s="70"/>
      <c r="N1072" s="70"/>
    </row>
    <row r="1073" spans="11:14">
      <c r="K1073" s="70"/>
      <c r="L1073" s="70"/>
      <c r="M1073" s="70"/>
      <c r="N1073" s="70"/>
    </row>
    <row r="1074" spans="11:14">
      <c r="K1074" s="70"/>
      <c r="L1074" s="70"/>
      <c r="M1074" s="70"/>
      <c r="N1074" s="70"/>
    </row>
    <row r="1075" spans="11:14">
      <c r="K1075" s="70"/>
      <c r="L1075" s="70"/>
      <c r="M1075" s="70"/>
      <c r="N1075" s="70"/>
    </row>
    <row r="1076" spans="11:14">
      <c r="K1076" s="70"/>
      <c r="L1076" s="70"/>
      <c r="M1076" s="70"/>
      <c r="N1076" s="70"/>
    </row>
    <row r="1077" spans="11:14">
      <c r="K1077" s="70"/>
      <c r="L1077" s="70"/>
      <c r="M1077" s="70"/>
      <c r="N1077" s="70"/>
    </row>
    <row r="1078" spans="11:14">
      <c r="K1078" s="70"/>
      <c r="L1078" s="70"/>
      <c r="M1078" s="70"/>
      <c r="N1078" s="70"/>
    </row>
    <row r="1079" spans="11:14">
      <c r="K1079" s="70"/>
      <c r="L1079" s="70"/>
      <c r="M1079" s="70"/>
      <c r="N1079" s="70"/>
    </row>
    <row r="1080" spans="11:14">
      <c r="K1080" s="70"/>
      <c r="L1080" s="70"/>
      <c r="M1080" s="70"/>
      <c r="N1080" s="70"/>
    </row>
    <row r="1081" spans="11:14">
      <c r="K1081" s="70"/>
      <c r="L1081" s="70"/>
      <c r="M1081" s="70"/>
      <c r="N1081" s="70"/>
    </row>
    <row r="1082" spans="11:14">
      <c r="K1082" s="70"/>
      <c r="L1082" s="70"/>
      <c r="M1082" s="70"/>
      <c r="N1082" s="70"/>
    </row>
    <row r="1083" spans="11:14">
      <c r="K1083" s="70"/>
      <c r="L1083" s="70"/>
      <c r="M1083" s="70"/>
      <c r="N1083" s="70"/>
    </row>
    <row r="1084" spans="11:14">
      <c r="K1084" s="70"/>
      <c r="L1084" s="70"/>
      <c r="M1084" s="70"/>
      <c r="N1084" s="70"/>
    </row>
    <row r="1085" spans="11:14">
      <c r="K1085" s="70"/>
      <c r="L1085" s="70"/>
      <c r="M1085" s="70"/>
      <c r="N1085" s="70"/>
    </row>
    <row r="1086" spans="11:14">
      <c r="K1086" s="70"/>
      <c r="L1086" s="70"/>
      <c r="M1086" s="70"/>
      <c r="N1086" s="70"/>
    </row>
    <row r="1087" spans="11:14">
      <c r="K1087" s="70"/>
      <c r="L1087" s="70"/>
      <c r="M1087" s="70"/>
      <c r="N1087" s="70"/>
    </row>
    <row r="1088" spans="11:14">
      <c r="K1088" s="70"/>
      <c r="L1088" s="70"/>
      <c r="M1088" s="70"/>
      <c r="N1088" s="70"/>
    </row>
    <row r="1089" spans="11:14">
      <c r="K1089" s="70"/>
      <c r="L1089" s="70"/>
      <c r="M1089" s="70"/>
      <c r="N1089" s="70"/>
    </row>
    <row r="1090" spans="11:14">
      <c r="K1090" s="70"/>
      <c r="L1090" s="70"/>
      <c r="M1090" s="70"/>
      <c r="N1090" s="70"/>
    </row>
    <row r="1091" spans="11:14">
      <c r="K1091" s="70"/>
      <c r="L1091" s="70"/>
      <c r="M1091" s="70"/>
      <c r="N1091" s="70"/>
    </row>
    <row r="1092" spans="11:14">
      <c r="K1092" s="70"/>
      <c r="L1092" s="70"/>
      <c r="M1092" s="70"/>
      <c r="N1092" s="70"/>
    </row>
    <row r="1093" spans="11:14">
      <c r="K1093" s="70"/>
      <c r="L1093" s="70"/>
      <c r="M1093" s="70"/>
      <c r="N1093" s="70"/>
    </row>
    <row r="1094" spans="11:14">
      <c r="K1094" s="70"/>
      <c r="L1094" s="70"/>
      <c r="M1094" s="70"/>
      <c r="N1094" s="70"/>
    </row>
    <row r="1095" spans="11:14">
      <c r="K1095" s="70"/>
      <c r="L1095" s="70"/>
      <c r="M1095" s="70"/>
      <c r="N1095" s="70"/>
    </row>
    <row r="1096" spans="11:14">
      <c r="K1096" s="70"/>
      <c r="L1096" s="70"/>
      <c r="M1096" s="70"/>
      <c r="N1096" s="70"/>
    </row>
    <row r="1097" spans="11:14">
      <c r="K1097" s="70"/>
      <c r="L1097" s="70"/>
      <c r="M1097" s="70"/>
      <c r="N1097" s="70"/>
    </row>
    <row r="1098" spans="11:14">
      <c r="K1098" s="70"/>
      <c r="L1098" s="70"/>
      <c r="M1098" s="70"/>
      <c r="N1098" s="70"/>
    </row>
    <row r="1099" spans="11:14">
      <c r="K1099" s="70"/>
      <c r="L1099" s="70"/>
      <c r="M1099" s="70"/>
      <c r="N1099" s="70"/>
    </row>
    <row r="1100" spans="11:14">
      <c r="K1100" s="70"/>
      <c r="L1100" s="70"/>
      <c r="M1100" s="70"/>
      <c r="N1100" s="70"/>
    </row>
    <row r="1101" spans="11:14">
      <c r="K1101" s="70"/>
      <c r="L1101" s="70"/>
      <c r="M1101" s="70"/>
      <c r="N1101" s="70"/>
    </row>
    <row r="1102" spans="11:14">
      <c r="K1102" s="70"/>
      <c r="L1102" s="70"/>
      <c r="M1102" s="70"/>
      <c r="N1102" s="70"/>
    </row>
    <row r="1103" spans="11:14">
      <c r="K1103" s="70"/>
      <c r="L1103" s="70"/>
      <c r="M1103" s="70"/>
      <c r="N1103" s="70"/>
    </row>
    <row r="1104" spans="11:14">
      <c r="K1104" s="70"/>
      <c r="L1104" s="70"/>
      <c r="M1104" s="70"/>
      <c r="N1104" s="70"/>
    </row>
    <row r="1105" spans="11:14">
      <c r="K1105" s="70"/>
      <c r="L1105" s="70"/>
      <c r="M1105" s="70"/>
      <c r="N1105" s="70"/>
    </row>
    <row r="1106" spans="11:14">
      <c r="K1106" s="70"/>
      <c r="L1106" s="70"/>
      <c r="M1106" s="70"/>
      <c r="N1106" s="70"/>
    </row>
    <row r="1107" spans="11:14">
      <c r="K1107" s="70"/>
      <c r="L1107" s="70"/>
      <c r="M1107" s="70"/>
      <c r="N1107" s="70"/>
    </row>
    <row r="1108" spans="11:14">
      <c r="K1108" s="70"/>
      <c r="L1108" s="70"/>
      <c r="M1108" s="70"/>
      <c r="N1108" s="70"/>
    </row>
    <row r="1109" spans="11:14">
      <c r="K1109" s="70"/>
      <c r="L1109" s="70"/>
      <c r="M1109" s="70"/>
      <c r="N1109" s="70"/>
    </row>
    <row r="1110" spans="11:14">
      <c r="K1110" s="70"/>
      <c r="L1110" s="70"/>
      <c r="M1110" s="70"/>
      <c r="N1110" s="70"/>
    </row>
    <row r="1111" spans="11:14">
      <c r="K1111" s="70"/>
      <c r="L1111" s="70"/>
      <c r="M1111" s="70"/>
      <c r="N1111" s="70"/>
    </row>
    <row r="1112" spans="11:14">
      <c r="K1112" s="70"/>
      <c r="L1112" s="70"/>
      <c r="M1112" s="70"/>
      <c r="N1112" s="70"/>
    </row>
    <row r="1113" spans="11:14">
      <c r="K1113" s="70"/>
      <c r="L1113" s="70"/>
      <c r="M1113" s="70"/>
      <c r="N1113" s="70"/>
    </row>
    <row r="1114" spans="11:14">
      <c r="K1114" s="70"/>
      <c r="L1114" s="70"/>
      <c r="M1114" s="70"/>
      <c r="N1114" s="70"/>
    </row>
    <row r="1115" spans="11:14">
      <c r="K1115" s="70"/>
      <c r="L1115" s="70"/>
      <c r="M1115" s="70"/>
      <c r="N1115" s="70"/>
    </row>
    <row r="1116" spans="11:14">
      <c r="K1116" s="70"/>
      <c r="L1116" s="70"/>
      <c r="M1116" s="70"/>
      <c r="N1116" s="70"/>
    </row>
    <row r="1117" spans="11:14">
      <c r="K1117" s="70"/>
      <c r="L1117" s="70"/>
      <c r="M1117" s="70"/>
      <c r="N1117" s="70"/>
    </row>
    <row r="1118" spans="11:14">
      <c r="K1118" s="70"/>
      <c r="L1118" s="70"/>
      <c r="M1118" s="70"/>
      <c r="N1118" s="70"/>
    </row>
    <row r="1119" spans="11:14">
      <c r="K1119" s="70"/>
      <c r="L1119" s="70"/>
      <c r="M1119" s="70"/>
      <c r="N1119" s="70"/>
    </row>
    <row r="1120" spans="11:14">
      <c r="K1120" s="70"/>
      <c r="L1120" s="70"/>
      <c r="M1120" s="70"/>
      <c r="N1120" s="70"/>
    </row>
    <row r="1121" spans="11:14">
      <c r="K1121" s="70"/>
      <c r="L1121" s="70"/>
      <c r="M1121" s="70"/>
      <c r="N1121" s="70"/>
    </row>
    <row r="1122" spans="11:14">
      <c r="K1122" s="70"/>
      <c r="L1122" s="70"/>
      <c r="M1122" s="70"/>
      <c r="N1122" s="70"/>
    </row>
    <row r="1123" spans="11:14">
      <c r="K1123" s="70"/>
      <c r="L1123" s="70"/>
      <c r="M1123" s="70"/>
      <c r="N1123" s="70"/>
    </row>
    <row r="1124" spans="11:14">
      <c r="K1124" s="70"/>
      <c r="L1124" s="70"/>
      <c r="M1124" s="70"/>
      <c r="N1124" s="70"/>
    </row>
    <row r="1125" spans="11:14">
      <c r="K1125" s="70"/>
      <c r="L1125" s="70"/>
      <c r="M1125" s="70"/>
      <c r="N1125" s="70"/>
    </row>
    <row r="1126" spans="11:14">
      <c r="K1126" s="70"/>
      <c r="L1126" s="70"/>
      <c r="M1126" s="70"/>
      <c r="N1126" s="70"/>
    </row>
    <row r="1127" spans="11:14">
      <c r="K1127" s="70"/>
      <c r="L1127" s="70"/>
      <c r="M1127" s="70"/>
      <c r="N1127" s="70"/>
    </row>
    <row r="1128" spans="11:14">
      <c r="K1128" s="70"/>
      <c r="L1128" s="70"/>
      <c r="M1128" s="70"/>
      <c r="N1128" s="70"/>
    </row>
    <row r="1129" spans="11:14">
      <c r="K1129" s="70"/>
      <c r="L1129" s="70"/>
      <c r="M1129" s="70"/>
      <c r="N1129" s="70"/>
    </row>
    <row r="1130" spans="11:14">
      <c r="K1130" s="70"/>
      <c r="L1130" s="70"/>
      <c r="M1130" s="70"/>
      <c r="N1130" s="70"/>
    </row>
    <row r="1131" spans="11:14">
      <c r="K1131" s="70"/>
      <c r="L1131" s="70"/>
      <c r="M1131" s="70"/>
      <c r="N1131" s="70"/>
    </row>
    <row r="1132" spans="11:14">
      <c r="K1132" s="70"/>
      <c r="L1132" s="70"/>
      <c r="M1132" s="70"/>
      <c r="N1132" s="70"/>
    </row>
    <row r="1133" spans="11:14">
      <c r="K1133" s="70"/>
      <c r="L1133" s="70"/>
      <c r="M1133" s="70"/>
      <c r="N1133" s="70"/>
    </row>
    <row r="1134" spans="11:14">
      <c r="K1134" s="70"/>
      <c r="L1134" s="70"/>
      <c r="M1134" s="70"/>
      <c r="N1134" s="70"/>
    </row>
    <row r="1135" spans="11:14">
      <c r="K1135" s="70"/>
      <c r="L1135" s="70"/>
      <c r="M1135" s="70"/>
      <c r="N1135" s="70"/>
    </row>
    <row r="1136" spans="11:14">
      <c r="K1136" s="70"/>
      <c r="L1136" s="70"/>
      <c r="M1136" s="70"/>
      <c r="N1136" s="70"/>
    </row>
    <row r="1137" spans="11:14">
      <c r="K1137" s="70"/>
      <c r="L1137" s="70"/>
      <c r="M1137" s="70"/>
      <c r="N1137" s="70"/>
    </row>
    <row r="1138" spans="11:14">
      <c r="K1138" s="70"/>
      <c r="L1138" s="70"/>
      <c r="M1138" s="70"/>
      <c r="N1138" s="70"/>
    </row>
    <row r="1139" spans="11:14">
      <c r="K1139" s="70"/>
      <c r="L1139" s="70"/>
      <c r="M1139" s="70"/>
      <c r="N1139" s="70"/>
    </row>
    <row r="1140" spans="11:14">
      <c r="K1140" s="70"/>
      <c r="L1140" s="70"/>
      <c r="M1140" s="70"/>
      <c r="N1140" s="70"/>
    </row>
    <row r="1141" spans="11:14">
      <c r="K1141" s="70"/>
      <c r="L1141" s="70"/>
      <c r="M1141" s="70"/>
      <c r="N1141" s="70"/>
    </row>
    <row r="1142" spans="11:14">
      <c r="K1142" s="70"/>
      <c r="L1142" s="70"/>
      <c r="M1142" s="70"/>
      <c r="N1142" s="70"/>
    </row>
    <row r="1143" spans="11:14">
      <c r="K1143" s="70"/>
      <c r="L1143" s="70"/>
      <c r="M1143" s="70"/>
      <c r="N1143" s="70"/>
    </row>
    <row r="1144" spans="11:14">
      <c r="K1144" s="70"/>
      <c r="L1144" s="70"/>
      <c r="M1144" s="70"/>
      <c r="N1144" s="70"/>
    </row>
    <row r="1145" spans="11:14">
      <c r="K1145" s="70"/>
      <c r="L1145" s="70"/>
      <c r="M1145" s="70"/>
      <c r="N1145" s="70"/>
    </row>
    <row r="1146" spans="11:14">
      <c r="K1146" s="70"/>
      <c r="L1146" s="70"/>
      <c r="M1146" s="70"/>
      <c r="N1146" s="70"/>
    </row>
    <row r="1147" spans="11:14">
      <c r="K1147" s="70"/>
      <c r="L1147" s="70"/>
      <c r="M1147" s="70"/>
      <c r="N1147" s="70"/>
    </row>
    <row r="1148" spans="11:14">
      <c r="K1148" s="70"/>
      <c r="L1148" s="70"/>
      <c r="M1148" s="70"/>
      <c r="N1148" s="70"/>
    </row>
    <row r="1149" spans="11:14">
      <c r="K1149" s="70"/>
      <c r="L1149" s="70"/>
      <c r="M1149" s="70"/>
      <c r="N1149" s="70"/>
    </row>
    <row r="1150" spans="11:14">
      <c r="K1150" s="70"/>
      <c r="L1150" s="70"/>
      <c r="M1150" s="70"/>
      <c r="N1150" s="70"/>
    </row>
    <row r="1151" spans="11:14">
      <c r="K1151" s="70"/>
      <c r="L1151" s="70"/>
      <c r="M1151" s="70"/>
      <c r="N1151" s="70"/>
    </row>
    <row r="1152" spans="11:14">
      <c r="K1152" s="70"/>
      <c r="L1152" s="70"/>
      <c r="M1152" s="70"/>
      <c r="N1152" s="70"/>
    </row>
    <row r="1153" spans="11:14">
      <c r="K1153" s="70"/>
      <c r="L1153" s="70"/>
      <c r="M1153" s="70"/>
      <c r="N1153" s="70"/>
    </row>
    <row r="1154" spans="11:14">
      <c r="K1154" s="70"/>
      <c r="L1154" s="70"/>
      <c r="M1154" s="70"/>
      <c r="N1154" s="70"/>
    </row>
    <row r="1155" spans="11:14">
      <c r="K1155" s="70"/>
      <c r="L1155" s="70"/>
      <c r="M1155" s="70"/>
      <c r="N1155" s="70"/>
    </row>
    <row r="1156" spans="11:14">
      <c r="K1156" s="70"/>
      <c r="L1156" s="70"/>
      <c r="M1156" s="70"/>
      <c r="N1156" s="70"/>
    </row>
    <row r="1157" spans="11:14">
      <c r="K1157" s="70"/>
      <c r="L1157" s="70"/>
      <c r="M1157" s="70"/>
      <c r="N1157" s="70"/>
    </row>
    <row r="1158" spans="11:14">
      <c r="K1158" s="70"/>
      <c r="L1158" s="70"/>
      <c r="M1158" s="70"/>
      <c r="N1158" s="70"/>
    </row>
    <row r="1159" spans="11:14">
      <c r="K1159" s="70"/>
      <c r="L1159" s="70"/>
      <c r="M1159" s="70"/>
      <c r="N1159" s="70"/>
    </row>
    <row r="1160" spans="11:14">
      <c r="K1160" s="70"/>
      <c r="L1160" s="70"/>
      <c r="M1160" s="70"/>
      <c r="N1160" s="70"/>
    </row>
    <row r="1161" spans="11:14">
      <c r="K1161" s="70"/>
      <c r="L1161" s="70"/>
      <c r="M1161" s="70"/>
      <c r="N1161" s="70"/>
    </row>
    <row r="1162" spans="11:14">
      <c r="K1162" s="70"/>
      <c r="L1162" s="70"/>
      <c r="M1162" s="70"/>
      <c r="N1162" s="70"/>
    </row>
    <row r="1163" spans="11:14">
      <c r="K1163" s="70"/>
      <c r="L1163" s="70"/>
      <c r="M1163" s="70"/>
      <c r="N1163" s="70"/>
    </row>
    <row r="1164" spans="11:14">
      <c r="K1164" s="70"/>
      <c r="L1164" s="70"/>
      <c r="M1164" s="70"/>
      <c r="N1164" s="70"/>
    </row>
    <row r="1165" spans="11:14">
      <c r="K1165" s="70"/>
      <c r="L1165" s="70"/>
      <c r="M1165" s="70"/>
      <c r="N1165" s="70"/>
    </row>
    <row r="1166" spans="11:14">
      <c r="K1166" s="70"/>
      <c r="L1166" s="70"/>
      <c r="M1166" s="70"/>
      <c r="N1166" s="70"/>
    </row>
    <row r="1167" spans="11:14">
      <c r="K1167" s="70"/>
      <c r="L1167" s="70"/>
      <c r="M1167" s="70"/>
      <c r="N1167" s="70"/>
    </row>
    <row r="1168" spans="11:14">
      <c r="K1168" s="70"/>
      <c r="L1168" s="70"/>
      <c r="M1168" s="70"/>
      <c r="N1168" s="70"/>
    </row>
    <row r="1169" spans="11:14">
      <c r="K1169" s="70"/>
      <c r="L1169" s="70"/>
      <c r="M1169" s="70"/>
      <c r="N1169" s="70"/>
    </row>
    <row r="1170" spans="11:14">
      <c r="K1170" s="70"/>
      <c r="L1170" s="70"/>
      <c r="M1170" s="70"/>
      <c r="N1170" s="70"/>
    </row>
    <row r="1171" spans="11:14">
      <c r="K1171" s="70"/>
      <c r="L1171" s="70"/>
      <c r="M1171" s="70"/>
      <c r="N1171" s="70"/>
    </row>
    <row r="1172" spans="11:14">
      <c r="K1172" s="70"/>
      <c r="L1172" s="70"/>
      <c r="M1172" s="70"/>
      <c r="N1172" s="70"/>
    </row>
    <row r="1173" spans="11:14">
      <c r="K1173" s="70"/>
      <c r="L1173" s="70"/>
      <c r="M1173" s="70"/>
      <c r="N1173" s="70"/>
    </row>
    <row r="1174" spans="11:14">
      <c r="K1174" s="70"/>
      <c r="L1174" s="70"/>
      <c r="M1174" s="70"/>
      <c r="N1174" s="70"/>
    </row>
    <row r="1175" spans="11:14">
      <c r="K1175" s="70"/>
      <c r="L1175" s="70"/>
      <c r="M1175" s="70"/>
      <c r="N1175" s="70"/>
    </row>
    <row r="1176" spans="11:14">
      <c r="K1176" s="70"/>
      <c r="L1176" s="70"/>
      <c r="M1176" s="70"/>
      <c r="N1176" s="70"/>
    </row>
    <row r="1177" spans="11:14">
      <c r="K1177" s="70"/>
      <c r="L1177" s="70"/>
      <c r="M1177" s="70"/>
      <c r="N1177" s="70"/>
    </row>
    <row r="1178" spans="11:14">
      <c r="K1178" s="70"/>
      <c r="L1178" s="70"/>
      <c r="M1178" s="70"/>
      <c r="N1178" s="70"/>
    </row>
    <row r="1179" spans="11:14">
      <c r="K1179" s="70"/>
      <c r="L1179" s="70"/>
      <c r="M1179" s="70"/>
      <c r="N1179" s="70"/>
    </row>
    <row r="1180" spans="11:14">
      <c r="K1180" s="70"/>
      <c r="L1180" s="70"/>
      <c r="M1180" s="70"/>
      <c r="N1180" s="70"/>
    </row>
    <row r="1181" spans="11:14">
      <c r="K1181" s="70"/>
      <c r="L1181" s="70"/>
      <c r="M1181" s="70"/>
      <c r="N1181" s="70"/>
    </row>
    <row r="1182" spans="11:14">
      <c r="K1182" s="70"/>
      <c r="L1182" s="70"/>
      <c r="M1182" s="70"/>
      <c r="N1182" s="70"/>
    </row>
    <row r="1183" spans="11:14">
      <c r="K1183" s="70"/>
      <c r="L1183" s="70"/>
      <c r="M1183" s="70"/>
      <c r="N1183" s="70"/>
    </row>
    <row r="1184" spans="11:14">
      <c r="K1184" s="70"/>
      <c r="L1184" s="70"/>
      <c r="M1184" s="70"/>
      <c r="N1184" s="70"/>
    </row>
    <row r="1185" spans="11:14">
      <c r="K1185" s="70"/>
      <c r="L1185" s="70"/>
      <c r="M1185" s="70"/>
      <c r="N1185" s="70"/>
    </row>
    <row r="1186" spans="11:14">
      <c r="K1186" s="70"/>
      <c r="L1186" s="70"/>
      <c r="M1186" s="70"/>
      <c r="N1186" s="70"/>
    </row>
    <row r="1187" spans="11:14">
      <c r="K1187" s="70"/>
      <c r="L1187" s="70"/>
      <c r="M1187" s="70"/>
      <c r="N1187" s="70"/>
    </row>
    <row r="1188" spans="11:14">
      <c r="K1188" s="70"/>
      <c r="L1188" s="70"/>
      <c r="M1188" s="70"/>
      <c r="N1188" s="70"/>
    </row>
    <row r="1189" spans="11:14">
      <c r="K1189" s="70"/>
      <c r="L1189" s="70"/>
      <c r="M1189" s="70"/>
      <c r="N1189" s="70"/>
    </row>
    <row r="1190" spans="11:14">
      <c r="K1190" s="70"/>
      <c r="L1190" s="70"/>
      <c r="M1190" s="70"/>
      <c r="N1190" s="70"/>
    </row>
    <row r="1191" spans="11:14">
      <c r="K1191" s="70"/>
      <c r="L1191" s="70"/>
      <c r="M1191" s="70"/>
      <c r="N1191" s="70"/>
    </row>
    <row r="1192" spans="11:14">
      <c r="K1192" s="70"/>
      <c r="L1192" s="70"/>
      <c r="M1192" s="70"/>
      <c r="N1192" s="70"/>
    </row>
    <row r="1193" spans="11:14">
      <c r="K1193" s="70"/>
      <c r="L1193" s="70"/>
      <c r="M1193" s="70"/>
      <c r="N1193" s="70"/>
    </row>
    <row r="1194" spans="11:14">
      <c r="K1194" s="70"/>
      <c r="L1194" s="70"/>
      <c r="M1194" s="70"/>
      <c r="N1194" s="70"/>
    </row>
    <row r="1195" spans="11:14">
      <c r="K1195" s="70"/>
      <c r="L1195" s="70"/>
      <c r="M1195" s="70"/>
      <c r="N1195" s="70"/>
    </row>
    <row r="1196" spans="11:14">
      <c r="K1196" s="70"/>
      <c r="L1196" s="70"/>
      <c r="M1196" s="70"/>
      <c r="N1196" s="70"/>
    </row>
    <row r="1197" spans="11:14">
      <c r="K1197" s="70"/>
      <c r="L1197" s="70"/>
      <c r="M1197" s="70"/>
      <c r="N1197" s="70"/>
    </row>
    <row r="1198" spans="11:14">
      <c r="K1198" s="70"/>
      <c r="L1198" s="70"/>
      <c r="M1198" s="70"/>
      <c r="N1198" s="70"/>
    </row>
    <row r="1199" spans="11:14">
      <c r="K1199" s="70"/>
      <c r="L1199" s="70"/>
      <c r="M1199" s="70"/>
      <c r="N1199" s="70"/>
    </row>
    <row r="1200" spans="11:14">
      <c r="K1200" s="70"/>
      <c r="L1200" s="70"/>
      <c r="M1200" s="70"/>
      <c r="N1200" s="70"/>
    </row>
    <row r="1201" spans="11:14">
      <c r="K1201" s="70"/>
      <c r="L1201" s="70"/>
      <c r="M1201" s="70"/>
      <c r="N1201" s="70"/>
    </row>
    <row r="1202" spans="11:14">
      <c r="K1202" s="70"/>
      <c r="L1202" s="70"/>
      <c r="M1202" s="70"/>
      <c r="N1202" s="70"/>
    </row>
    <row r="1203" spans="11:14">
      <c r="K1203" s="70"/>
      <c r="L1203" s="70"/>
      <c r="M1203" s="70"/>
      <c r="N1203" s="70"/>
    </row>
    <row r="1204" spans="11:14">
      <c r="K1204" s="70"/>
      <c r="L1204" s="70"/>
      <c r="M1204" s="70"/>
      <c r="N1204" s="70"/>
    </row>
    <row r="1205" spans="11:14">
      <c r="K1205" s="70"/>
      <c r="L1205" s="70"/>
      <c r="M1205" s="70"/>
      <c r="N1205" s="70"/>
    </row>
    <row r="1206" spans="11:14">
      <c r="K1206" s="70"/>
      <c r="L1206" s="70"/>
      <c r="M1206" s="70"/>
      <c r="N1206" s="70"/>
    </row>
    <row r="1207" spans="11:14">
      <c r="K1207" s="70"/>
      <c r="L1207" s="70"/>
      <c r="M1207" s="70"/>
      <c r="N1207" s="70"/>
    </row>
    <row r="1208" spans="11:14">
      <c r="K1208" s="70"/>
      <c r="L1208" s="70"/>
      <c r="M1208" s="70"/>
      <c r="N1208" s="70"/>
    </row>
    <row r="1209" spans="11:14">
      <c r="K1209" s="70"/>
      <c r="L1209" s="70"/>
      <c r="M1209" s="70"/>
      <c r="N1209" s="70"/>
    </row>
    <row r="1210" spans="11:14">
      <c r="K1210" s="70"/>
      <c r="L1210" s="70"/>
      <c r="M1210" s="70"/>
      <c r="N1210" s="70"/>
    </row>
    <row r="1211" spans="11:14">
      <c r="K1211" s="70"/>
      <c r="L1211" s="70"/>
      <c r="M1211" s="70"/>
      <c r="N1211" s="70"/>
    </row>
    <row r="1212" spans="11:14">
      <c r="K1212" s="70"/>
      <c r="L1212" s="70"/>
      <c r="M1212" s="70"/>
      <c r="N1212" s="70"/>
    </row>
    <row r="1213" spans="11:14">
      <c r="K1213" s="70"/>
      <c r="L1213" s="70"/>
      <c r="M1213" s="70"/>
      <c r="N1213" s="70"/>
    </row>
    <row r="1214" spans="11:14">
      <c r="K1214" s="70"/>
      <c r="L1214" s="70"/>
      <c r="M1214" s="70"/>
      <c r="N1214" s="70"/>
    </row>
    <row r="1215" spans="11:14">
      <c r="K1215" s="70"/>
      <c r="L1215" s="70"/>
      <c r="M1215" s="70"/>
      <c r="N1215" s="70"/>
    </row>
    <row r="1216" spans="11:14">
      <c r="K1216" s="70"/>
      <c r="L1216" s="70"/>
      <c r="M1216" s="70"/>
      <c r="N1216" s="70"/>
    </row>
    <row r="1217" spans="11:14">
      <c r="K1217" s="70"/>
      <c r="L1217" s="70"/>
      <c r="M1217" s="70"/>
      <c r="N1217" s="70"/>
    </row>
    <row r="1218" spans="11:14">
      <c r="K1218" s="70"/>
      <c r="L1218" s="70"/>
      <c r="M1218" s="70"/>
      <c r="N1218" s="70"/>
    </row>
    <row r="1219" spans="11:14">
      <c r="K1219" s="70"/>
      <c r="L1219" s="70"/>
      <c r="M1219" s="70"/>
      <c r="N1219" s="70"/>
    </row>
    <row r="1220" spans="11:14">
      <c r="K1220" s="70"/>
      <c r="L1220" s="70"/>
      <c r="M1220" s="70"/>
      <c r="N1220" s="70"/>
    </row>
    <row r="1221" spans="11:14">
      <c r="K1221" s="70"/>
      <c r="L1221" s="70"/>
      <c r="M1221" s="70"/>
      <c r="N1221" s="70"/>
    </row>
    <row r="1222" spans="11:14">
      <c r="K1222" s="70"/>
      <c r="L1222" s="70"/>
      <c r="M1222" s="70"/>
      <c r="N1222" s="70"/>
    </row>
    <row r="1223" spans="11:14">
      <c r="K1223" s="70"/>
      <c r="L1223" s="70"/>
      <c r="M1223" s="70"/>
      <c r="N1223" s="70"/>
    </row>
    <row r="1224" spans="11:14">
      <c r="K1224" s="70"/>
      <c r="L1224" s="70"/>
      <c r="M1224" s="70"/>
      <c r="N1224" s="70"/>
    </row>
    <row r="1225" spans="11:14">
      <c r="K1225" s="70"/>
      <c r="L1225" s="70"/>
      <c r="M1225" s="70"/>
      <c r="N1225" s="70"/>
    </row>
    <row r="1226" spans="11:14">
      <c r="K1226" s="70"/>
      <c r="L1226" s="70"/>
      <c r="M1226" s="70"/>
      <c r="N1226" s="70"/>
    </row>
    <row r="1227" spans="11:14">
      <c r="K1227" s="70"/>
      <c r="L1227" s="70"/>
      <c r="M1227" s="70"/>
      <c r="N1227" s="70"/>
    </row>
    <row r="1228" spans="11:14">
      <c r="K1228" s="70"/>
      <c r="L1228" s="70"/>
      <c r="M1228" s="70"/>
      <c r="N1228" s="70"/>
    </row>
    <row r="1229" spans="11:14">
      <c r="K1229" s="70"/>
      <c r="L1229" s="70"/>
      <c r="M1229" s="70"/>
      <c r="N1229" s="70"/>
    </row>
    <row r="1230" spans="11:14">
      <c r="K1230" s="70"/>
      <c r="L1230" s="70"/>
      <c r="M1230" s="70"/>
      <c r="N1230" s="70"/>
    </row>
    <row r="1231" spans="11:14">
      <c r="K1231" s="70"/>
      <c r="L1231" s="70"/>
      <c r="M1231" s="70"/>
      <c r="N1231" s="70"/>
    </row>
    <row r="1232" spans="11:14">
      <c r="K1232" s="70"/>
      <c r="L1232" s="70"/>
      <c r="M1232" s="70"/>
      <c r="N1232" s="70"/>
    </row>
    <row r="1233" spans="11:14">
      <c r="K1233" s="70"/>
      <c r="L1233" s="70"/>
      <c r="M1233" s="70"/>
      <c r="N1233" s="70"/>
    </row>
    <row r="1234" spans="11:14">
      <c r="K1234" s="70"/>
      <c r="L1234" s="70"/>
      <c r="M1234" s="70"/>
      <c r="N1234" s="70"/>
    </row>
    <row r="1235" spans="11:14">
      <c r="K1235" s="70"/>
      <c r="L1235" s="70"/>
      <c r="M1235" s="70"/>
      <c r="N1235" s="70"/>
    </row>
    <row r="1236" spans="11:14">
      <c r="K1236" s="70"/>
      <c r="L1236" s="70"/>
      <c r="M1236" s="70"/>
      <c r="N1236" s="70"/>
    </row>
    <row r="1237" spans="11:14">
      <c r="K1237" s="70"/>
      <c r="L1237" s="70"/>
      <c r="M1237" s="70"/>
      <c r="N1237" s="70"/>
    </row>
    <row r="1238" spans="11:14">
      <c r="K1238" s="70"/>
      <c r="L1238" s="70"/>
      <c r="M1238" s="70"/>
      <c r="N1238" s="70"/>
    </row>
    <row r="1239" spans="11:14">
      <c r="K1239" s="70"/>
      <c r="L1239" s="70"/>
      <c r="M1239" s="70"/>
      <c r="N1239" s="70"/>
    </row>
    <row r="1240" spans="11:14">
      <c r="K1240" s="70"/>
      <c r="L1240" s="70"/>
      <c r="M1240" s="70"/>
      <c r="N1240" s="70"/>
    </row>
    <row r="1241" spans="11:14">
      <c r="K1241" s="70"/>
      <c r="L1241" s="70"/>
      <c r="M1241" s="70"/>
      <c r="N1241" s="70"/>
    </row>
    <row r="1242" spans="11:14">
      <c r="K1242" s="70"/>
      <c r="L1242" s="70"/>
      <c r="M1242" s="70"/>
      <c r="N1242" s="70"/>
    </row>
    <row r="1243" spans="11:14">
      <c r="K1243" s="70"/>
      <c r="L1243" s="70"/>
      <c r="M1243" s="70"/>
      <c r="N1243" s="70"/>
    </row>
    <row r="1244" spans="11:14">
      <c r="K1244" s="70"/>
      <c r="L1244" s="70"/>
      <c r="M1244" s="70"/>
      <c r="N1244" s="70"/>
    </row>
    <row r="1245" spans="11:14">
      <c r="K1245" s="70"/>
      <c r="L1245" s="70"/>
      <c r="M1245" s="70"/>
      <c r="N1245" s="70"/>
    </row>
    <row r="1246" spans="11:14">
      <c r="K1246" s="70"/>
      <c r="L1246" s="70"/>
      <c r="M1246" s="70"/>
      <c r="N1246" s="70"/>
    </row>
    <row r="1247" spans="11:14">
      <c r="K1247" s="70"/>
      <c r="L1247" s="70"/>
      <c r="M1247" s="70"/>
      <c r="N1247" s="70"/>
    </row>
    <row r="1248" spans="11:14">
      <c r="K1248" s="70"/>
      <c r="L1248" s="70"/>
      <c r="M1248" s="70"/>
      <c r="N1248" s="70"/>
    </row>
    <row r="1249" spans="11:14">
      <c r="K1249" s="70"/>
      <c r="L1249" s="70"/>
      <c r="M1249" s="70"/>
      <c r="N1249" s="70"/>
    </row>
    <row r="1250" spans="11:14">
      <c r="K1250" s="70"/>
      <c r="L1250" s="70"/>
      <c r="M1250" s="70"/>
      <c r="N1250" s="70"/>
    </row>
    <row r="1251" spans="11:14">
      <c r="K1251" s="70"/>
      <c r="L1251" s="70"/>
      <c r="M1251" s="70"/>
      <c r="N1251" s="70"/>
    </row>
    <row r="1252" spans="11:14">
      <c r="K1252" s="70"/>
      <c r="L1252" s="70"/>
      <c r="M1252" s="70"/>
      <c r="N1252" s="70"/>
    </row>
    <row r="1253" spans="11:14">
      <c r="K1253" s="70"/>
      <c r="L1253" s="70"/>
      <c r="M1253" s="70"/>
      <c r="N1253" s="70"/>
    </row>
    <row r="1254" spans="11:14">
      <c r="K1254" s="70"/>
      <c r="L1254" s="70"/>
      <c r="M1254" s="70"/>
      <c r="N1254" s="70"/>
    </row>
    <row r="1255" spans="11:14">
      <c r="K1255" s="70"/>
      <c r="L1255" s="70"/>
      <c r="M1255" s="70"/>
      <c r="N1255" s="70"/>
    </row>
    <row r="1256" spans="11:14">
      <c r="K1256" s="70"/>
      <c r="L1256" s="70"/>
      <c r="M1256" s="70"/>
      <c r="N1256" s="70"/>
    </row>
    <row r="1257" spans="11:14">
      <c r="K1257" s="70"/>
      <c r="L1257" s="70"/>
      <c r="M1257" s="70"/>
      <c r="N1257" s="70"/>
    </row>
    <row r="1258" spans="11:14">
      <c r="K1258" s="70"/>
      <c r="L1258" s="70"/>
      <c r="M1258" s="70"/>
      <c r="N1258" s="70"/>
    </row>
    <row r="1259" spans="11:14">
      <c r="K1259" s="70"/>
      <c r="L1259" s="70"/>
      <c r="M1259" s="70"/>
      <c r="N1259" s="70"/>
    </row>
    <row r="1260" spans="11:14">
      <c r="K1260" s="70"/>
      <c r="L1260" s="70"/>
      <c r="M1260" s="70"/>
      <c r="N1260" s="70"/>
    </row>
    <row r="1261" spans="11:14">
      <c r="K1261" s="70"/>
      <c r="L1261" s="70"/>
      <c r="M1261" s="70"/>
      <c r="N1261" s="70"/>
    </row>
    <row r="1262" spans="11:14">
      <c r="K1262" s="70"/>
      <c r="L1262" s="70"/>
      <c r="M1262" s="70"/>
      <c r="N1262" s="70"/>
    </row>
    <row r="1263" spans="11:14">
      <c r="K1263" s="70"/>
      <c r="L1263" s="70"/>
      <c r="M1263" s="70"/>
      <c r="N1263" s="70"/>
    </row>
    <row r="1264" spans="11:14">
      <c r="K1264" s="70"/>
      <c r="L1264" s="70"/>
      <c r="M1264" s="70"/>
      <c r="N1264" s="70"/>
    </row>
    <row r="1265" spans="11:14">
      <c r="K1265" s="70"/>
      <c r="L1265" s="70"/>
      <c r="M1265" s="70"/>
      <c r="N1265" s="70"/>
    </row>
    <row r="1266" spans="11:14">
      <c r="K1266" s="70"/>
      <c r="L1266" s="70"/>
      <c r="M1266" s="70"/>
      <c r="N1266" s="70"/>
    </row>
    <row r="1267" spans="11:14">
      <c r="K1267" s="70"/>
      <c r="L1267" s="70"/>
      <c r="M1267" s="70"/>
      <c r="N1267" s="70"/>
    </row>
    <row r="1268" spans="11:14">
      <c r="K1268" s="70"/>
      <c r="L1268" s="70"/>
      <c r="M1268" s="70"/>
      <c r="N1268" s="70"/>
    </row>
    <row r="1269" spans="11:14">
      <c r="K1269" s="70"/>
      <c r="L1269" s="70"/>
      <c r="M1269" s="70"/>
      <c r="N1269" s="70"/>
    </row>
    <row r="1270" spans="11:14">
      <c r="K1270" s="70"/>
      <c r="L1270" s="70"/>
      <c r="M1270" s="70"/>
      <c r="N1270" s="70"/>
    </row>
    <row r="1271" spans="11:14">
      <c r="K1271" s="70"/>
      <c r="L1271" s="70"/>
      <c r="M1271" s="70"/>
      <c r="N1271" s="70"/>
    </row>
    <row r="1272" spans="11:14">
      <c r="K1272" s="70"/>
      <c r="L1272" s="70"/>
      <c r="M1272" s="70"/>
      <c r="N1272" s="70"/>
    </row>
    <row r="1273" spans="11:14">
      <c r="K1273" s="70"/>
      <c r="L1273" s="70"/>
      <c r="M1273" s="70"/>
      <c r="N1273" s="70"/>
    </row>
    <row r="1274" spans="11:14">
      <c r="K1274" s="70"/>
      <c r="L1274" s="70"/>
      <c r="M1274" s="70"/>
      <c r="N1274" s="70"/>
    </row>
    <row r="1275" spans="11:14">
      <c r="K1275" s="70"/>
      <c r="L1275" s="70"/>
      <c r="M1275" s="70"/>
      <c r="N1275" s="70"/>
    </row>
    <row r="1276" spans="11:14">
      <c r="K1276" s="70"/>
      <c r="L1276" s="70"/>
      <c r="M1276" s="70"/>
      <c r="N1276" s="70"/>
    </row>
    <row r="1277" spans="11:14">
      <c r="K1277" s="70"/>
      <c r="L1277" s="70"/>
      <c r="M1277" s="70"/>
      <c r="N1277" s="70"/>
    </row>
    <row r="1278" spans="11:14">
      <c r="K1278" s="70"/>
      <c r="L1278" s="70"/>
      <c r="M1278" s="70"/>
      <c r="N1278" s="70"/>
    </row>
    <row r="1279" spans="11:14">
      <c r="K1279" s="70"/>
      <c r="L1279" s="70"/>
      <c r="M1279" s="70"/>
      <c r="N1279" s="70"/>
    </row>
    <row r="1280" spans="11:14">
      <c r="K1280" s="70"/>
      <c r="L1280" s="70"/>
      <c r="M1280" s="70"/>
      <c r="N1280" s="70"/>
    </row>
    <row r="1281" spans="11:14">
      <c r="K1281" s="70"/>
      <c r="L1281" s="70"/>
      <c r="M1281" s="70"/>
      <c r="N1281" s="70"/>
    </row>
    <row r="1282" spans="11:14">
      <c r="K1282" s="70"/>
      <c r="L1282" s="70"/>
      <c r="M1282" s="70"/>
      <c r="N1282" s="70"/>
    </row>
    <row r="1283" spans="11:14">
      <c r="K1283" s="70"/>
      <c r="L1283" s="70"/>
      <c r="M1283" s="70"/>
      <c r="N1283" s="70"/>
    </row>
    <row r="1284" spans="11:14">
      <c r="K1284" s="70"/>
      <c r="L1284" s="70"/>
      <c r="M1284" s="70"/>
      <c r="N1284" s="70"/>
    </row>
    <row r="1285" spans="11:14">
      <c r="K1285" s="70"/>
      <c r="L1285" s="70"/>
      <c r="M1285" s="70"/>
      <c r="N1285" s="70"/>
    </row>
    <row r="1286" spans="11:14">
      <c r="K1286" s="70"/>
      <c r="L1286" s="70"/>
      <c r="M1286" s="70"/>
      <c r="N1286" s="70"/>
    </row>
    <row r="1287" spans="11:14">
      <c r="K1287" s="70"/>
      <c r="L1287" s="70"/>
      <c r="M1287" s="70"/>
      <c r="N1287" s="70"/>
    </row>
    <row r="1288" spans="11:14">
      <c r="K1288" s="70"/>
      <c r="L1288" s="70"/>
      <c r="M1288" s="70"/>
      <c r="N1288" s="70"/>
    </row>
    <row r="1289" spans="11:14">
      <c r="K1289" s="70"/>
      <c r="L1289" s="70"/>
      <c r="M1289" s="70"/>
      <c r="N1289" s="70"/>
    </row>
    <row r="1290" spans="11:14">
      <c r="K1290" s="70"/>
      <c r="L1290" s="70"/>
      <c r="M1290" s="70"/>
      <c r="N1290" s="70"/>
    </row>
    <row r="1291" spans="11:14">
      <c r="K1291" s="70"/>
      <c r="L1291" s="70"/>
      <c r="M1291" s="70"/>
      <c r="N1291" s="70"/>
    </row>
    <row r="1292" spans="11:14">
      <c r="K1292" s="70"/>
      <c r="L1292" s="70"/>
      <c r="M1292" s="70"/>
      <c r="N1292" s="70"/>
    </row>
    <row r="1293" spans="11:14">
      <c r="K1293" s="70"/>
      <c r="L1293" s="70"/>
      <c r="M1293" s="70"/>
      <c r="N1293" s="70"/>
    </row>
    <row r="1294" spans="11:14">
      <c r="K1294" s="70"/>
      <c r="L1294" s="70"/>
      <c r="M1294" s="70"/>
      <c r="N1294" s="70"/>
    </row>
    <row r="1295" spans="11:14">
      <c r="K1295" s="70"/>
      <c r="L1295" s="70"/>
      <c r="M1295" s="70"/>
      <c r="N1295" s="70"/>
    </row>
    <row r="1296" spans="11:14">
      <c r="K1296" s="70"/>
      <c r="L1296" s="70"/>
      <c r="M1296" s="70"/>
      <c r="N1296" s="70"/>
    </row>
    <row r="1297" spans="11:14">
      <c r="K1297" s="70"/>
      <c r="L1297" s="70"/>
      <c r="M1297" s="70"/>
      <c r="N1297" s="70"/>
    </row>
    <row r="1298" spans="11:14">
      <c r="K1298" s="70"/>
      <c r="L1298" s="70"/>
      <c r="M1298" s="70"/>
      <c r="N1298" s="70"/>
    </row>
    <row r="1299" spans="11:14">
      <c r="K1299" s="70"/>
      <c r="L1299" s="70"/>
      <c r="M1299" s="70"/>
      <c r="N1299" s="70"/>
    </row>
    <row r="1300" spans="11:14">
      <c r="K1300" s="70"/>
      <c r="L1300" s="70"/>
      <c r="M1300" s="70"/>
      <c r="N1300" s="70"/>
    </row>
    <row r="1301" spans="11:14">
      <c r="K1301" s="70"/>
      <c r="L1301" s="70"/>
      <c r="M1301" s="70"/>
      <c r="N1301" s="70"/>
    </row>
    <row r="1302" spans="11:14">
      <c r="K1302" s="70"/>
      <c r="L1302" s="70"/>
      <c r="M1302" s="70"/>
      <c r="N1302" s="70"/>
    </row>
    <row r="1303" spans="11:14">
      <c r="K1303" s="70"/>
      <c r="L1303" s="70"/>
      <c r="M1303" s="70"/>
      <c r="N1303" s="70"/>
    </row>
    <row r="1304" spans="11:14">
      <c r="K1304" s="70"/>
      <c r="L1304" s="70"/>
      <c r="M1304" s="70"/>
      <c r="N1304" s="70"/>
    </row>
    <row r="1305" spans="11:14">
      <c r="K1305" s="70"/>
      <c r="L1305" s="70"/>
      <c r="M1305" s="70"/>
      <c r="N1305" s="70"/>
    </row>
    <row r="1306" spans="11:14">
      <c r="K1306" s="70"/>
      <c r="L1306" s="70"/>
      <c r="M1306" s="70"/>
      <c r="N1306" s="70"/>
    </row>
    <row r="1307" spans="11:14">
      <c r="K1307" s="70"/>
      <c r="L1307" s="70"/>
      <c r="M1307" s="70"/>
      <c r="N1307" s="70"/>
    </row>
    <row r="1308" spans="11:14">
      <c r="K1308" s="70"/>
      <c r="L1308" s="70"/>
      <c r="M1308" s="70"/>
      <c r="N1308" s="70"/>
    </row>
    <row r="1309" spans="11:14">
      <c r="K1309" s="70"/>
      <c r="L1309" s="70"/>
      <c r="M1309" s="70"/>
      <c r="N1309" s="70"/>
    </row>
    <row r="1310" spans="11:14">
      <c r="K1310" s="70"/>
      <c r="L1310" s="70"/>
      <c r="M1310" s="70"/>
      <c r="N1310" s="70"/>
    </row>
    <row r="1311" spans="11:14">
      <c r="K1311" s="70"/>
      <c r="L1311" s="70"/>
      <c r="M1311" s="70"/>
      <c r="N1311" s="70"/>
    </row>
    <row r="1312" spans="11:14">
      <c r="K1312" s="70"/>
      <c r="L1312" s="70"/>
      <c r="M1312" s="70"/>
      <c r="N1312" s="70"/>
    </row>
    <row r="1313" spans="11:14">
      <c r="K1313" s="70"/>
      <c r="L1313" s="70"/>
      <c r="M1313" s="70"/>
      <c r="N1313" s="70"/>
    </row>
    <row r="1314" spans="11:14">
      <c r="K1314" s="70"/>
      <c r="L1314" s="70"/>
      <c r="M1314" s="70"/>
      <c r="N1314" s="70"/>
    </row>
    <row r="1315" spans="11:14">
      <c r="K1315" s="70"/>
      <c r="L1315" s="70"/>
      <c r="M1315" s="70"/>
      <c r="N1315" s="70"/>
    </row>
    <row r="1316" spans="11:14">
      <c r="K1316" s="70"/>
      <c r="L1316" s="70"/>
      <c r="M1316" s="70"/>
      <c r="N1316" s="70"/>
    </row>
    <row r="1317" spans="11:14">
      <c r="K1317" s="70"/>
      <c r="L1317" s="70"/>
      <c r="M1317" s="70"/>
      <c r="N1317" s="70"/>
    </row>
    <row r="1318" spans="11:14">
      <c r="K1318" s="70"/>
      <c r="L1318" s="70"/>
      <c r="M1318" s="70"/>
      <c r="N1318" s="70"/>
    </row>
    <row r="1319" spans="11:14">
      <c r="K1319" s="70"/>
      <c r="L1319" s="70"/>
      <c r="M1319" s="70"/>
      <c r="N1319" s="70"/>
    </row>
    <row r="1320" spans="11:14">
      <c r="K1320" s="70"/>
      <c r="L1320" s="70"/>
      <c r="M1320" s="70"/>
      <c r="N1320" s="70"/>
    </row>
    <row r="1321" spans="11:14">
      <c r="K1321" s="70"/>
      <c r="L1321" s="70"/>
      <c r="M1321" s="70"/>
      <c r="N1321" s="70"/>
    </row>
    <row r="1322" spans="11:14">
      <c r="K1322" s="70"/>
      <c r="L1322" s="70"/>
      <c r="M1322" s="70"/>
      <c r="N1322" s="70"/>
    </row>
    <row r="1323" spans="11:14">
      <c r="K1323" s="70"/>
      <c r="L1323" s="70"/>
      <c r="M1323" s="70"/>
      <c r="N1323" s="70"/>
    </row>
    <row r="1324" spans="11:14">
      <c r="K1324" s="70"/>
      <c r="L1324" s="70"/>
      <c r="M1324" s="70"/>
      <c r="N1324" s="70"/>
    </row>
    <row r="1325" spans="11:14">
      <c r="K1325" s="70"/>
      <c r="L1325" s="70"/>
      <c r="M1325" s="70"/>
      <c r="N1325" s="70"/>
    </row>
    <row r="1326" spans="11:14">
      <c r="K1326" s="70"/>
      <c r="L1326" s="70"/>
      <c r="M1326" s="70"/>
      <c r="N1326" s="70"/>
    </row>
    <row r="1327" spans="11:14">
      <c r="K1327" s="70"/>
      <c r="L1327" s="70"/>
      <c r="M1327" s="70"/>
      <c r="N1327" s="70"/>
    </row>
    <row r="1328" spans="11:14">
      <c r="K1328" s="70"/>
      <c r="L1328" s="70"/>
      <c r="M1328" s="70"/>
      <c r="N1328" s="70"/>
    </row>
    <row r="1329" spans="11:14">
      <c r="K1329" s="70"/>
      <c r="L1329" s="70"/>
      <c r="M1329" s="70"/>
      <c r="N1329" s="70"/>
    </row>
    <row r="1330" spans="11:14">
      <c r="K1330" s="70"/>
      <c r="L1330" s="70"/>
      <c r="M1330" s="70"/>
      <c r="N1330" s="70"/>
    </row>
    <row r="1331" spans="11:14">
      <c r="K1331" s="70"/>
      <c r="L1331" s="70"/>
      <c r="M1331" s="70"/>
      <c r="N1331" s="70"/>
    </row>
    <row r="1332" spans="11:14">
      <c r="K1332" s="70"/>
      <c r="L1332" s="70"/>
      <c r="M1332" s="70"/>
      <c r="N1332" s="70"/>
    </row>
    <row r="1333" spans="11:14">
      <c r="K1333" s="70"/>
      <c r="L1333" s="70"/>
      <c r="M1333" s="70"/>
      <c r="N1333" s="70"/>
    </row>
    <row r="1334" spans="11:14">
      <c r="K1334" s="70"/>
      <c r="L1334" s="70"/>
      <c r="M1334" s="70"/>
      <c r="N1334" s="70"/>
    </row>
    <row r="1335" spans="11:14">
      <c r="K1335" s="70"/>
      <c r="L1335" s="70"/>
      <c r="M1335" s="70"/>
      <c r="N1335" s="70"/>
    </row>
    <row r="1336" spans="11:14">
      <c r="K1336" s="70"/>
      <c r="L1336" s="70"/>
      <c r="M1336" s="70"/>
      <c r="N1336" s="70"/>
    </row>
    <row r="1337" spans="11:14">
      <c r="K1337" s="70"/>
      <c r="L1337" s="70"/>
      <c r="M1337" s="70"/>
      <c r="N1337" s="70"/>
    </row>
    <row r="1338" spans="11:14">
      <c r="K1338" s="70"/>
      <c r="L1338" s="70"/>
      <c r="M1338" s="70"/>
      <c r="N1338" s="70"/>
    </row>
    <row r="1339" spans="11:14">
      <c r="K1339" s="70"/>
      <c r="L1339" s="70"/>
      <c r="M1339" s="70"/>
      <c r="N1339" s="70"/>
    </row>
    <row r="1340" spans="11:14">
      <c r="K1340" s="70"/>
      <c r="L1340" s="70"/>
      <c r="M1340" s="70"/>
      <c r="N1340" s="70"/>
    </row>
    <row r="1341" spans="11:14">
      <c r="K1341" s="70"/>
      <c r="L1341" s="70"/>
      <c r="M1341" s="70"/>
      <c r="N1341" s="70"/>
    </row>
    <row r="1342" spans="11:14">
      <c r="K1342" s="70"/>
      <c r="L1342" s="70"/>
      <c r="M1342" s="70"/>
      <c r="N1342" s="70"/>
    </row>
    <row r="1343" spans="11:14">
      <c r="K1343" s="70"/>
      <c r="L1343" s="70"/>
      <c r="M1343" s="70"/>
      <c r="N1343" s="70"/>
    </row>
    <row r="1344" spans="11:14">
      <c r="K1344" s="70"/>
      <c r="L1344" s="70"/>
      <c r="M1344" s="70"/>
      <c r="N1344" s="70"/>
    </row>
    <row r="1345" spans="11:14">
      <c r="K1345" s="70"/>
      <c r="L1345" s="70"/>
      <c r="M1345" s="70"/>
      <c r="N1345" s="70"/>
    </row>
    <row r="1346" spans="11:14">
      <c r="K1346" s="70"/>
      <c r="L1346" s="70"/>
      <c r="M1346" s="70"/>
      <c r="N1346" s="70"/>
    </row>
    <row r="1347" spans="11:14">
      <c r="K1347" s="70"/>
      <c r="L1347" s="70"/>
      <c r="M1347" s="70"/>
      <c r="N1347" s="70"/>
    </row>
    <row r="1348" spans="11:14">
      <c r="K1348" s="70"/>
      <c r="L1348" s="70"/>
      <c r="M1348" s="70"/>
      <c r="N1348" s="70"/>
    </row>
    <row r="1349" spans="11:14">
      <c r="K1349" s="70"/>
      <c r="L1349" s="70"/>
      <c r="M1349" s="70"/>
      <c r="N1349" s="70"/>
    </row>
    <row r="1350" spans="11:14">
      <c r="K1350" s="70"/>
      <c r="L1350" s="70"/>
      <c r="M1350" s="70"/>
      <c r="N1350" s="70"/>
    </row>
    <row r="1351" spans="11:14">
      <c r="K1351" s="70"/>
      <c r="L1351" s="70"/>
      <c r="M1351" s="70"/>
      <c r="N1351" s="70"/>
    </row>
    <row r="1352" spans="11:14">
      <c r="K1352" s="70"/>
      <c r="L1352" s="70"/>
      <c r="M1352" s="70"/>
      <c r="N1352" s="70"/>
    </row>
    <row r="1353" spans="11:14">
      <c r="K1353" s="70"/>
      <c r="L1353" s="70"/>
      <c r="M1353" s="70"/>
      <c r="N1353" s="70"/>
    </row>
    <row r="1354" spans="11:14">
      <c r="K1354" s="70"/>
      <c r="L1354" s="70"/>
      <c r="M1354" s="70"/>
      <c r="N1354" s="70"/>
    </row>
    <row r="1355" spans="11:14">
      <c r="K1355" s="70"/>
      <c r="L1355" s="70"/>
      <c r="M1355" s="70"/>
      <c r="N1355" s="70"/>
    </row>
    <row r="1356" spans="11:14">
      <c r="K1356" s="70"/>
      <c r="L1356" s="70"/>
      <c r="M1356" s="70"/>
      <c r="N1356" s="70"/>
    </row>
    <row r="1357" spans="11:14">
      <c r="K1357" s="70"/>
      <c r="L1357" s="70"/>
      <c r="M1357" s="70"/>
      <c r="N1357" s="70"/>
    </row>
    <row r="1358" spans="11:14">
      <c r="K1358" s="70"/>
      <c r="L1358" s="70"/>
      <c r="M1358" s="70"/>
      <c r="N1358" s="70"/>
    </row>
    <row r="1359" spans="11:14">
      <c r="K1359" s="70"/>
      <c r="L1359" s="70"/>
      <c r="M1359" s="70"/>
      <c r="N1359" s="70"/>
    </row>
    <row r="1360" spans="11:14">
      <c r="K1360" s="70"/>
      <c r="L1360" s="70"/>
      <c r="M1360" s="70"/>
      <c r="N1360" s="70"/>
    </row>
    <row r="1361" spans="11:14">
      <c r="K1361" s="70"/>
      <c r="L1361" s="70"/>
      <c r="M1361" s="70"/>
      <c r="N1361" s="70"/>
    </row>
    <row r="1362" spans="11:14">
      <c r="K1362" s="70"/>
      <c r="L1362" s="70"/>
      <c r="M1362" s="70"/>
      <c r="N1362" s="70"/>
    </row>
    <row r="1363" spans="11:14">
      <c r="K1363" s="70"/>
      <c r="L1363" s="70"/>
      <c r="M1363" s="70"/>
      <c r="N1363" s="70"/>
    </row>
    <row r="1364" spans="11:14">
      <c r="K1364" s="70"/>
      <c r="L1364" s="70"/>
      <c r="M1364" s="70"/>
      <c r="N1364" s="70"/>
    </row>
    <row r="1365" spans="11:14">
      <c r="K1365" s="70"/>
      <c r="L1365" s="70"/>
      <c r="M1365" s="70"/>
      <c r="N1365" s="70"/>
    </row>
    <row r="1366" spans="11:14">
      <c r="K1366" s="70"/>
      <c r="L1366" s="70"/>
      <c r="M1366" s="70"/>
      <c r="N1366" s="70"/>
    </row>
    <row r="1367" spans="11:14">
      <c r="K1367" s="70"/>
      <c r="L1367" s="70"/>
      <c r="M1367" s="70"/>
      <c r="N1367" s="70"/>
    </row>
    <row r="1368" spans="11:14">
      <c r="K1368" s="70"/>
      <c r="L1368" s="70"/>
      <c r="M1368" s="70"/>
      <c r="N1368" s="70"/>
    </row>
    <row r="1369" spans="11:14">
      <c r="K1369" s="70"/>
      <c r="L1369" s="70"/>
      <c r="M1369" s="70"/>
      <c r="N1369" s="70"/>
    </row>
    <row r="1370" spans="11:14">
      <c r="K1370" s="70"/>
      <c r="L1370" s="70"/>
      <c r="M1370" s="70"/>
      <c r="N1370" s="70"/>
    </row>
    <row r="1371" spans="11:14">
      <c r="K1371" s="70"/>
      <c r="L1371" s="70"/>
      <c r="M1371" s="70"/>
      <c r="N1371" s="70"/>
    </row>
    <row r="1372" spans="11:14">
      <c r="K1372" s="70"/>
      <c r="L1372" s="70"/>
      <c r="M1372" s="70"/>
      <c r="N1372" s="70"/>
    </row>
    <row r="1373" spans="11:14">
      <c r="K1373" s="70"/>
      <c r="L1373" s="70"/>
      <c r="M1373" s="70"/>
      <c r="N1373" s="70"/>
    </row>
    <row r="1374" spans="11:14">
      <c r="K1374" s="70"/>
      <c r="L1374" s="70"/>
      <c r="M1374" s="70"/>
      <c r="N1374" s="70"/>
    </row>
    <row r="1375" spans="11:14">
      <c r="K1375" s="70"/>
      <c r="L1375" s="70"/>
      <c r="M1375" s="70"/>
      <c r="N1375" s="70"/>
    </row>
    <row r="1376" spans="11:14">
      <c r="K1376" s="70"/>
      <c r="L1376" s="70"/>
      <c r="M1376" s="70"/>
      <c r="N1376" s="70"/>
    </row>
    <row r="1377" spans="11:14">
      <c r="K1377" s="70"/>
      <c r="L1377" s="70"/>
      <c r="M1377" s="70"/>
      <c r="N1377" s="70"/>
    </row>
    <row r="1378" spans="11:14">
      <c r="K1378" s="70"/>
      <c r="L1378" s="70"/>
      <c r="M1378" s="70"/>
      <c r="N1378" s="70"/>
    </row>
    <row r="1379" spans="11:14">
      <c r="K1379" s="70"/>
      <c r="L1379" s="70"/>
      <c r="M1379" s="70"/>
      <c r="N1379" s="70"/>
    </row>
    <row r="1380" spans="11:14">
      <c r="K1380" s="70"/>
      <c r="L1380" s="70"/>
      <c r="M1380" s="70"/>
      <c r="N1380" s="70"/>
    </row>
    <row r="1381" spans="11:14">
      <c r="K1381" s="70"/>
      <c r="L1381" s="70"/>
      <c r="M1381" s="70"/>
      <c r="N1381" s="70"/>
    </row>
    <row r="1382" spans="11:14">
      <c r="K1382" s="70"/>
      <c r="L1382" s="70"/>
      <c r="M1382" s="70"/>
      <c r="N1382" s="70"/>
    </row>
    <row r="1383" spans="11:14">
      <c r="K1383" s="70"/>
      <c r="L1383" s="70"/>
      <c r="M1383" s="70"/>
      <c r="N1383" s="70"/>
    </row>
    <row r="1384" spans="11:14">
      <c r="K1384" s="70"/>
      <c r="L1384" s="70"/>
      <c r="M1384" s="70"/>
      <c r="N1384" s="70"/>
    </row>
    <row r="1385" spans="11:14">
      <c r="K1385" s="70"/>
      <c r="L1385" s="70"/>
      <c r="M1385" s="70"/>
      <c r="N1385" s="70"/>
    </row>
    <row r="1386" spans="11:14">
      <c r="K1386" s="70"/>
      <c r="L1386" s="70"/>
      <c r="M1386" s="70"/>
      <c r="N1386" s="70"/>
    </row>
    <row r="1387" spans="11:14">
      <c r="K1387" s="70"/>
      <c r="L1387" s="70"/>
      <c r="M1387" s="70"/>
      <c r="N1387" s="70"/>
    </row>
    <row r="1388" spans="11:14">
      <c r="K1388" s="70"/>
      <c r="L1388" s="70"/>
      <c r="M1388" s="70"/>
      <c r="N1388" s="70"/>
    </row>
    <row r="1389" spans="11:14">
      <c r="K1389" s="70"/>
      <c r="L1389" s="70"/>
      <c r="M1389" s="70"/>
      <c r="N1389" s="70"/>
    </row>
    <row r="1390" spans="11:14">
      <c r="K1390" s="70"/>
      <c r="L1390" s="70"/>
      <c r="M1390" s="70"/>
      <c r="N1390" s="70"/>
    </row>
    <row r="1391" spans="11:14">
      <c r="K1391" s="70"/>
      <c r="L1391" s="70"/>
      <c r="M1391" s="70"/>
      <c r="N1391" s="70"/>
    </row>
    <row r="1392" spans="11:14">
      <c r="K1392" s="70"/>
      <c r="L1392" s="70"/>
      <c r="M1392" s="70"/>
      <c r="N1392" s="70"/>
    </row>
    <row r="1393" spans="11:14">
      <c r="K1393" s="70"/>
      <c r="L1393" s="70"/>
      <c r="M1393" s="70"/>
      <c r="N1393" s="70"/>
    </row>
    <row r="1394" spans="11:14">
      <c r="K1394" s="70"/>
      <c r="L1394" s="70"/>
      <c r="M1394" s="70"/>
      <c r="N1394" s="70"/>
    </row>
    <row r="1395" spans="11:14">
      <c r="K1395" s="70"/>
      <c r="L1395" s="70"/>
      <c r="M1395" s="70"/>
      <c r="N1395" s="70"/>
    </row>
    <row r="1396" spans="11:14">
      <c r="K1396" s="70"/>
      <c r="L1396" s="70"/>
      <c r="M1396" s="70"/>
      <c r="N1396" s="70"/>
    </row>
    <row r="1397" spans="11:14">
      <c r="K1397" s="70"/>
      <c r="L1397" s="70"/>
      <c r="M1397" s="70"/>
      <c r="N1397" s="70"/>
    </row>
    <row r="1398" spans="11:14">
      <c r="K1398" s="70"/>
      <c r="L1398" s="70"/>
      <c r="M1398" s="70"/>
      <c r="N1398" s="70"/>
    </row>
    <row r="1399" spans="11:14">
      <c r="K1399" s="70"/>
      <c r="L1399" s="70"/>
      <c r="M1399" s="70"/>
      <c r="N1399" s="70"/>
    </row>
    <row r="1400" spans="11:14">
      <c r="K1400" s="70"/>
      <c r="L1400" s="70"/>
      <c r="M1400" s="70"/>
      <c r="N1400" s="70"/>
    </row>
    <row r="1401" spans="11:14">
      <c r="K1401" s="70"/>
      <c r="L1401" s="70"/>
      <c r="M1401" s="70"/>
      <c r="N1401" s="70"/>
    </row>
    <row r="1402" spans="11:14">
      <c r="K1402" s="70"/>
      <c r="L1402" s="70"/>
      <c r="M1402" s="70"/>
      <c r="N1402" s="70"/>
    </row>
    <row r="1403" spans="11:14">
      <c r="K1403" s="70"/>
      <c r="L1403" s="70"/>
      <c r="M1403" s="70"/>
      <c r="N1403" s="70"/>
    </row>
    <row r="1404" spans="11:14">
      <c r="K1404" s="70"/>
      <c r="L1404" s="70"/>
      <c r="M1404" s="70"/>
      <c r="N1404" s="70"/>
    </row>
    <row r="1405" spans="11:14">
      <c r="K1405" s="70"/>
      <c r="L1405" s="70"/>
      <c r="M1405" s="70"/>
      <c r="N1405" s="70"/>
    </row>
    <row r="1406" spans="11:14">
      <c r="K1406" s="70"/>
      <c r="L1406" s="70"/>
      <c r="M1406" s="70"/>
      <c r="N1406" s="70"/>
    </row>
    <row r="1407" spans="11:14">
      <c r="K1407" s="70"/>
      <c r="L1407" s="70"/>
      <c r="M1407" s="70"/>
      <c r="N1407" s="70"/>
    </row>
    <row r="1408" spans="11:14">
      <c r="K1408" s="70"/>
      <c r="L1408" s="70"/>
      <c r="M1408" s="70"/>
      <c r="N1408" s="70"/>
    </row>
    <row r="1409" spans="11:14">
      <c r="K1409" s="70"/>
      <c r="L1409" s="70"/>
      <c r="M1409" s="70"/>
      <c r="N1409" s="70"/>
    </row>
    <row r="1410" spans="11:14">
      <c r="K1410" s="70"/>
      <c r="L1410" s="70"/>
      <c r="M1410" s="70"/>
      <c r="N1410" s="70"/>
    </row>
    <row r="1411" spans="11:14">
      <c r="K1411" s="70"/>
      <c r="L1411" s="70"/>
      <c r="M1411" s="70"/>
      <c r="N1411" s="70"/>
    </row>
    <row r="1412" spans="11:14">
      <c r="K1412" s="70"/>
      <c r="L1412" s="70"/>
      <c r="M1412" s="70"/>
      <c r="N1412" s="70"/>
    </row>
    <row r="1413" spans="11:14">
      <c r="K1413" s="70"/>
      <c r="L1413" s="70"/>
      <c r="M1413" s="70"/>
      <c r="N1413" s="70"/>
    </row>
    <row r="1414" spans="11:14">
      <c r="K1414" s="70"/>
      <c r="L1414" s="70"/>
      <c r="M1414" s="70"/>
      <c r="N1414" s="70"/>
    </row>
    <row r="1415" spans="11:14">
      <c r="K1415" s="70"/>
      <c r="L1415" s="70"/>
      <c r="M1415" s="70"/>
      <c r="N1415" s="70"/>
    </row>
    <row r="1416" spans="11:14">
      <c r="K1416" s="70"/>
      <c r="L1416" s="70"/>
      <c r="M1416" s="70"/>
      <c r="N1416" s="70"/>
    </row>
    <row r="1417" spans="11:14">
      <c r="K1417" s="70"/>
      <c r="L1417" s="70"/>
      <c r="M1417" s="70"/>
      <c r="N1417" s="70"/>
    </row>
    <row r="1418" spans="11:14">
      <c r="K1418" s="70"/>
      <c r="L1418" s="70"/>
      <c r="M1418" s="70"/>
      <c r="N1418" s="70"/>
    </row>
    <row r="1419" spans="11:14">
      <c r="K1419" s="70"/>
      <c r="L1419" s="70"/>
      <c r="M1419" s="70"/>
      <c r="N1419" s="70"/>
    </row>
    <row r="1420" spans="11:14">
      <c r="K1420" s="70"/>
      <c r="L1420" s="70"/>
      <c r="M1420" s="70"/>
      <c r="N1420" s="70"/>
    </row>
    <row r="1421" spans="11:14">
      <c r="K1421" s="70"/>
      <c r="L1421" s="70"/>
      <c r="M1421" s="70"/>
      <c r="N1421" s="70"/>
    </row>
    <row r="1422" spans="11:14">
      <c r="K1422" s="70"/>
      <c r="L1422" s="70"/>
      <c r="M1422" s="70"/>
      <c r="N1422" s="70"/>
    </row>
    <row r="1423" spans="11:14">
      <c r="K1423" s="70"/>
      <c r="L1423" s="70"/>
      <c r="M1423" s="70"/>
      <c r="N1423" s="70"/>
    </row>
    <row r="1424" spans="11:14">
      <c r="K1424" s="70"/>
      <c r="L1424" s="70"/>
      <c r="M1424" s="70"/>
      <c r="N1424" s="70"/>
    </row>
    <row r="1425" spans="11:14">
      <c r="K1425" s="70"/>
      <c r="L1425" s="70"/>
      <c r="M1425" s="70"/>
      <c r="N1425" s="70"/>
    </row>
    <row r="1426" spans="11:14">
      <c r="K1426" s="70"/>
      <c r="L1426" s="70"/>
      <c r="M1426" s="70"/>
      <c r="N1426" s="70"/>
    </row>
    <row r="1427" spans="11:14">
      <c r="K1427" s="70"/>
      <c r="L1427" s="70"/>
      <c r="M1427" s="70"/>
      <c r="N1427" s="70"/>
    </row>
    <row r="1428" spans="11:14">
      <c r="K1428" s="70"/>
      <c r="L1428" s="70"/>
      <c r="M1428" s="70"/>
      <c r="N1428" s="70"/>
    </row>
    <row r="1429" spans="11:14">
      <c r="K1429" s="70"/>
      <c r="L1429" s="70"/>
      <c r="M1429" s="70"/>
      <c r="N1429" s="70"/>
    </row>
    <row r="1430" spans="11:14">
      <c r="K1430" s="70"/>
      <c r="L1430" s="70"/>
      <c r="M1430" s="70"/>
      <c r="N1430" s="70"/>
    </row>
    <row r="1431" spans="11:14">
      <c r="K1431" s="70"/>
      <c r="L1431" s="70"/>
      <c r="M1431" s="70"/>
      <c r="N1431" s="70"/>
    </row>
    <row r="1432" spans="11:14">
      <c r="K1432" s="70"/>
      <c r="L1432" s="70"/>
      <c r="M1432" s="70"/>
      <c r="N1432" s="70"/>
    </row>
    <row r="1433" spans="11:14">
      <c r="K1433" s="70"/>
      <c r="L1433" s="70"/>
      <c r="M1433" s="70"/>
      <c r="N1433" s="70"/>
    </row>
    <row r="1434" spans="11:14">
      <c r="K1434" s="70"/>
      <c r="L1434" s="70"/>
      <c r="M1434" s="70"/>
      <c r="N1434" s="70"/>
    </row>
    <row r="1435" spans="11:14">
      <c r="K1435" s="70"/>
      <c r="L1435" s="70"/>
      <c r="M1435" s="70"/>
      <c r="N1435" s="70"/>
    </row>
    <row r="1436" spans="11:14">
      <c r="K1436" s="70"/>
      <c r="L1436" s="70"/>
      <c r="M1436" s="70"/>
      <c r="N1436" s="70"/>
    </row>
    <row r="1437" spans="11:14">
      <c r="K1437" s="70"/>
      <c r="L1437" s="70"/>
      <c r="M1437" s="70"/>
      <c r="N1437" s="70"/>
    </row>
    <row r="1438" spans="11:14">
      <c r="K1438" s="70"/>
      <c r="L1438" s="70"/>
      <c r="M1438" s="70"/>
      <c r="N1438" s="70"/>
    </row>
    <row r="1439" spans="11:14">
      <c r="K1439" s="70"/>
      <c r="L1439" s="70"/>
      <c r="M1439" s="70"/>
      <c r="N1439" s="70"/>
    </row>
    <row r="1440" spans="11:14">
      <c r="K1440" s="70"/>
      <c r="L1440" s="70"/>
      <c r="M1440" s="70"/>
      <c r="N1440" s="70"/>
    </row>
    <row r="1441" spans="11:14">
      <c r="K1441" s="70"/>
      <c r="L1441" s="70"/>
      <c r="M1441" s="70"/>
      <c r="N1441" s="70"/>
    </row>
    <row r="1442" spans="11:14">
      <c r="K1442" s="70"/>
      <c r="L1442" s="70"/>
      <c r="M1442" s="70"/>
      <c r="N1442" s="70"/>
    </row>
    <row r="1443" spans="11:14">
      <c r="K1443" s="70"/>
      <c r="L1443" s="70"/>
      <c r="M1443" s="70"/>
      <c r="N1443" s="70"/>
    </row>
    <row r="1444" spans="11:14">
      <c r="K1444" s="70"/>
      <c r="L1444" s="70"/>
      <c r="M1444" s="70"/>
      <c r="N1444" s="70"/>
    </row>
    <row r="1445" spans="11:14">
      <c r="K1445" s="70"/>
      <c r="L1445" s="70"/>
      <c r="M1445" s="70"/>
      <c r="N1445" s="70"/>
    </row>
    <row r="1446" spans="11:14">
      <c r="K1446" s="70"/>
      <c r="L1446" s="70"/>
      <c r="M1446" s="70"/>
      <c r="N1446" s="70"/>
    </row>
    <row r="1447" spans="11:14">
      <c r="K1447" s="70"/>
      <c r="L1447" s="70"/>
      <c r="M1447" s="70"/>
      <c r="N1447" s="70"/>
    </row>
    <row r="1448" spans="11:14">
      <c r="K1448" s="70"/>
      <c r="L1448" s="70"/>
      <c r="M1448" s="70"/>
      <c r="N1448" s="70"/>
    </row>
    <row r="1449" spans="11:14">
      <c r="K1449" s="70"/>
      <c r="L1449" s="70"/>
      <c r="M1449" s="70"/>
      <c r="N1449" s="70"/>
    </row>
    <row r="1450" spans="11:14">
      <c r="K1450" s="70"/>
      <c r="L1450" s="70"/>
      <c r="M1450" s="70"/>
      <c r="N1450" s="70"/>
    </row>
    <row r="1451" spans="11:14">
      <c r="K1451" s="70"/>
      <c r="L1451" s="70"/>
      <c r="M1451" s="70"/>
      <c r="N1451" s="70"/>
    </row>
    <row r="1452" spans="11:14">
      <c r="K1452" s="70"/>
      <c r="L1452" s="70"/>
      <c r="M1452" s="70"/>
      <c r="N1452" s="70"/>
    </row>
    <row r="1453" spans="11:14">
      <c r="K1453" s="70"/>
      <c r="L1453" s="70"/>
      <c r="M1453" s="70"/>
      <c r="N1453" s="70"/>
    </row>
    <row r="1454" spans="11:14">
      <c r="K1454" s="70"/>
      <c r="L1454" s="70"/>
      <c r="M1454" s="70"/>
      <c r="N1454" s="70"/>
    </row>
    <row r="1455" spans="11:14">
      <c r="K1455" s="70"/>
      <c r="L1455" s="70"/>
      <c r="M1455" s="70"/>
      <c r="N1455" s="70"/>
    </row>
    <row r="1456" spans="11:14">
      <c r="K1456" s="70"/>
      <c r="L1456" s="70"/>
      <c r="M1456" s="70"/>
      <c r="N1456" s="70"/>
    </row>
    <row r="1457" spans="11:14">
      <c r="K1457" s="70"/>
      <c r="L1457" s="70"/>
      <c r="M1457" s="70"/>
      <c r="N1457" s="70"/>
    </row>
    <row r="1458" spans="11:14">
      <c r="K1458" s="70"/>
      <c r="L1458" s="70"/>
      <c r="M1458" s="70"/>
      <c r="N1458" s="70"/>
    </row>
    <row r="1459" spans="11:14">
      <c r="K1459" s="70"/>
      <c r="L1459" s="70"/>
      <c r="M1459" s="70"/>
      <c r="N1459" s="70"/>
    </row>
    <row r="1460" spans="11:14">
      <c r="K1460" s="70"/>
      <c r="L1460" s="70"/>
      <c r="M1460" s="70"/>
      <c r="N1460" s="70"/>
    </row>
    <row r="1461" spans="11:14">
      <c r="K1461" s="70"/>
      <c r="L1461" s="70"/>
      <c r="M1461" s="70"/>
      <c r="N1461" s="70"/>
    </row>
    <row r="1462" spans="11:14">
      <c r="K1462" s="70"/>
      <c r="L1462" s="70"/>
      <c r="M1462" s="70"/>
      <c r="N1462" s="70"/>
    </row>
    <row r="1463" spans="11:14">
      <c r="K1463" s="70"/>
      <c r="L1463" s="70"/>
      <c r="M1463" s="70"/>
      <c r="N1463" s="70"/>
    </row>
    <row r="1464" spans="11:14">
      <c r="K1464" s="70"/>
      <c r="L1464" s="70"/>
      <c r="M1464" s="70"/>
      <c r="N1464" s="70"/>
    </row>
    <row r="1465" spans="11:14">
      <c r="K1465" s="70"/>
      <c r="L1465" s="70"/>
      <c r="M1465" s="70"/>
      <c r="N1465" s="70"/>
    </row>
    <row r="1466" spans="11:14">
      <c r="K1466" s="70"/>
      <c r="L1466" s="70"/>
      <c r="M1466" s="70"/>
      <c r="N1466" s="70"/>
    </row>
    <row r="1467" spans="11:14">
      <c r="K1467" s="70"/>
      <c r="L1467" s="70"/>
      <c r="M1467" s="70"/>
      <c r="N1467" s="70"/>
    </row>
    <row r="1468" spans="11:14">
      <c r="K1468" s="70"/>
      <c r="L1468" s="70"/>
      <c r="M1468" s="70"/>
      <c r="N1468" s="70"/>
    </row>
    <row r="1469" spans="11:14">
      <c r="K1469" s="70"/>
      <c r="L1469" s="70"/>
      <c r="M1469" s="70"/>
      <c r="N1469" s="70"/>
    </row>
    <row r="1470" spans="11:14">
      <c r="K1470" s="70"/>
      <c r="L1470" s="70"/>
      <c r="M1470" s="70"/>
      <c r="N1470" s="70"/>
    </row>
    <row r="1471" spans="11:14">
      <c r="K1471" s="70"/>
      <c r="L1471" s="70"/>
      <c r="M1471" s="70"/>
      <c r="N1471" s="70"/>
    </row>
    <row r="1472" spans="11:14">
      <c r="K1472" s="70"/>
      <c r="L1472" s="70"/>
      <c r="M1472" s="70"/>
      <c r="N1472" s="70"/>
    </row>
    <row r="1473" spans="11:14">
      <c r="K1473" s="70"/>
      <c r="L1473" s="70"/>
      <c r="M1473" s="70"/>
      <c r="N1473" s="70"/>
    </row>
    <row r="1474" spans="11:14">
      <c r="K1474" s="70"/>
      <c r="L1474" s="70"/>
      <c r="M1474" s="70"/>
      <c r="N1474" s="70"/>
    </row>
    <row r="1475" spans="11:14">
      <c r="K1475" s="70"/>
      <c r="L1475" s="70"/>
      <c r="M1475" s="70"/>
      <c r="N1475" s="70"/>
    </row>
    <row r="1476" spans="11:14">
      <c r="K1476" s="70"/>
      <c r="L1476" s="70"/>
      <c r="M1476" s="70"/>
      <c r="N1476" s="70"/>
    </row>
    <row r="1477" spans="11:14">
      <c r="K1477" s="70"/>
      <c r="L1477" s="70"/>
      <c r="M1477" s="70"/>
      <c r="N1477" s="70"/>
    </row>
    <row r="1478" spans="11:14">
      <c r="K1478" s="70"/>
      <c r="L1478" s="70"/>
      <c r="M1478" s="70"/>
      <c r="N1478" s="70"/>
    </row>
    <row r="1479" spans="11:14">
      <c r="K1479" s="70"/>
      <c r="L1479" s="70"/>
      <c r="M1479" s="70"/>
      <c r="N1479" s="70"/>
    </row>
    <row r="1480" spans="11:14">
      <c r="K1480" s="70"/>
      <c r="L1480" s="70"/>
      <c r="M1480" s="70"/>
      <c r="N1480" s="70"/>
    </row>
    <row r="1481" spans="11:14">
      <c r="K1481" s="70"/>
      <c r="L1481" s="70"/>
      <c r="M1481" s="70"/>
      <c r="N1481" s="70"/>
    </row>
    <row r="1482" spans="11:14">
      <c r="K1482" s="70"/>
      <c r="L1482" s="70"/>
      <c r="M1482" s="70"/>
      <c r="N1482" s="70"/>
    </row>
    <row r="1483" spans="11:14">
      <c r="K1483" s="70"/>
      <c r="L1483" s="70"/>
      <c r="M1483" s="70"/>
      <c r="N1483" s="70"/>
    </row>
    <row r="1484" spans="11:14">
      <c r="K1484" s="70"/>
      <c r="L1484" s="70"/>
      <c r="M1484" s="70"/>
      <c r="N1484" s="70"/>
    </row>
    <row r="1485" spans="11:14">
      <c r="K1485" s="70"/>
      <c r="L1485" s="70"/>
      <c r="M1485" s="70"/>
      <c r="N1485" s="70"/>
    </row>
    <row r="1486" spans="11:14">
      <c r="K1486" s="70"/>
      <c r="L1486" s="70"/>
      <c r="M1486" s="70"/>
      <c r="N1486" s="70"/>
    </row>
    <row r="1487" spans="11:14">
      <c r="K1487" s="70"/>
      <c r="L1487" s="70"/>
      <c r="M1487" s="70"/>
      <c r="N1487" s="70"/>
    </row>
    <row r="1488" spans="11:14">
      <c r="K1488" s="70"/>
      <c r="L1488" s="70"/>
      <c r="M1488" s="70"/>
      <c r="N1488" s="70"/>
    </row>
    <row r="1489" spans="11:14">
      <c r="K1489" s="70"/>
      <c r="L1489" s="70"/>
      <c r="M1489" s="70"/>
      <c r="N1489" s="70"/>
    </row>
    <row r="1490" spans="11:14">
      <c r="K1490" s="70"/>
      <c r="L1490" s="70"/>
      <c r="M1490" s="70"/>
      <c r="N1490" s="70"/>
    </row>
    <row r="1491" spans="11:14">
      <c r="K1491" s="70"/>
      <c r="L1491" s="70"/>
      <c r="M1491" s="70"/>
      <c r="N1491" s="70"/>
    </row>
    <row r="1492" spans="11:14">
      <c r="K1492" s="70"/>
      <c r="L1492" s="70"/>
      <c r="M1492" s="70"/>
      <c r="N1492" s="70"/>
    </row>
    <row r="1493" spans="11:14">
      <c r="K1493" s="70"/>
      <c r="L1493" s="70"/>
      <c r="M1493" s="70"/>
      <c r="N1493" s="70"/>
    </row>
    <row r="1494" spans="11:14">
      <c r="K1494" s="70"/>
      <c r="L1494" s="70"/>
      <c r="M1494" s="70"/>
      <c r="N1494" s="70"/>
    </row>
    <row r="1495" spans="11:14">
      <c r="K1495" s="70"/>
      <c r="L1495" s="70"/>
      <c r="M1495" s="70"/>
      <c r="N1495" s="70"/>
    </row>
    <row r="1496" spans="11:14">
      <c r="K1496" s="70"/>
      <c r="L1496" s="70"/>
      <c r="M1496" s="70"/>
      <c r="N1496" s="70"/>
    </row>
    <row r="1497" spans="11:14">
      <c r="K1497" s="70"/>
      <c r="L1497" s="70"/>
      <c r="M1497" s="70"/>
      <c r="N1497" s="70"/>
    </row>
    <row r="1498" spans="11:14">
      <c r="K1498" s="70"/>
      <c r="L1498" s="70"/>
      <c r="M1498" s="70"/>
      <c r="N1498" s="70"/>
    </row>
    <row r="1499" spans="11:14">
      <c r="K1499" s="70"/>
      <c r="L1499" s="70"/>
      <c r="M1499" s="70"/>
      <c r="N1499" s="70"/>
    </row>
    <row r="1500" spans="11:14">
      <c r="K1500" s="70"/>
      <c r="L1500" s="70"/>
      <c r="M1500" s="70"/>
      <c r="N1500" s="70"/>
    </row>
    <row r="1501" spans="11:14">
      <c r="K1501" s="70"/>
      <c r="L1501" s="70"/>
      <c r="M1501" s="70"/>
      <c r="N1501" s="70"/>
    </row>
    <row r="1502" spans="11:14">
      <c r="K1502" s="70"/>
      <c r="L1502" s="70"/>
      <c r="M1502" s="70"/>
      <c r="N1502" s="70"/>
    </row>
    <row r="1503" spans="11:14">
      <c r="K1503" s="70"/>
      <c r="L1503" s="70"/>
      <c r="M1503" s="70"/>
      <c r="N1503" s="70"/>
    </row>
    <row r="1504" spans="11:14">
      <c r="K1504" s="70"/>
      <c r="L1504" s="70"/>
      <c r="M1504" s="70"/>
      <c r="N1504" s="70"/>
    </row>
    <row r="1505" spans="11:14">
      <c r="K1505" s="70"/>
      <c r="L1505" s="70"/>
      <c r="M1505" s="70"/>
      <c r="N1505" s="70"/>
    </row>
    <row r="1506" spans="11:14">
      <c r="K1506" s="70"/>
      <c r="L1506" s="70"/>
      <c r="M1506" s="70"/>
      <c r="N1506" s="70"/>
    </row>
    <row r="1507" spans="11:14">
      <c r="K1507" s="70"/>
      <c r="L1507" s="70"/>
      <c r="M1507" s="70"/>
      <c r="N1507" s="70"/>
    </row>
    <row r="1508" spans="11:14">
      <c r="K1508" s="70"/>
      <c r="L1508" s="70"/>
      <c r="M1508" s="70"/>
      <c r="N1508" s="70"/>
    </row>
    <row r="1509" spans="11:14">
      <c r="K1509" s="70"/>
      <c r="L1509" s="70"/>
      <c r="M1509" s="70"/>
      <c r="N1509" s="70"/>
    </row>
    <row r="1510" spans="11:14">
      <c r="K1510" s="70"/>
      <c r="L1510" s="70"/>
      <c r="M1510" s="70"/>
      <c r="N1510" s="70"/>
    </row>
    <row r="1511" spans="11:14">
      <c r="K1511" s="70"/>
      <c r="L1511" s="70"/>
      <c r="M1511" s="70"/>
      <c r="N1511" s="70"/>
    </row>
    <row r="1512" spans="11:14">
      <c r="K1512" s="70"/>
      <c r="L1512" s="70"/>
      <c r="M1512" s="70"/>
      <c r="N1512" s="70"/>
    </row>
    <row r="1513" spans="11:14">
      <c r="K1513" s="70"/>
      <c r="L1513" s="70"/>
      <c r="M1513" s="70"/>
      <c r="N1513" s="70"/>
    </row>
    <row r="1514" spans="11:14">
      <c r="K1514" s="70"/>
      <c r="L1514" s="70"/>
      <c r="M1514" s="70"/>
      <c r="N1514" s="70"/>
    </row>
    <row r="1515" spans="11:14">
      <c r="K1515" s="70"/>
      <c r="L1515" s="70"/>
      <c r="M1515" s="70"/>
      <c r="N1515" s="70"/>
    </row>
    <row r="1516" spans="11:14">
      <c r="K1516" s="70"/>
      <c r="L1516" s="70"/>
      <c r="M1516" s="70"/>
      <c r="N1516" s="70"/>
    </row>
    <row r="1517" spans="11:14">
      <c r="K1517" s="70"/>
      <c r="L1517" s="70"/>
      <c r="M1517" s="70"/>
      <c r="N1517" s="70"/>
    </row>
    <row r="1518" spans="11:14">
      <c r="K1518" s="70"/>
      <c r="L1518" s="70"/>
      <c r="M1518" s="70"/>
      <c r="N1518" s="70"/>
    </row>
    <row r="1519" spans="11:14">
      <c r="K1519" s="70"/>
      <c r="L1519" s="70"/>
      <c r="M1519" s="70"/>
      <c r="N1519" s="70"/>
    </row>
    <row r="1520" spans="11:14">
      <c r="K1520" s="70"/>
      <c r="L1520" s="70"/>
      <c r="M1520" s="70"/>
      <c r="N1520" s="70"/>
    </row>
    <row r="1521" spans="11:14">
      <c r="K1521" s="70"/>
      <c r="L1521" s="70"/>
      <c r="M1521" s="70"/>
      <c r="N1521" s="70"/>
    </row>
    <row r="1522" spans="11:14">
      <c r="K1522" s="70"/>
      <c r="L1522" s="70"/>
      <c r="M1522" s="70"/>
      <c r="N1522" s="70"/>
    </row>
    <row r="1523" spans="11:14">
      <c r="K1523" s="70"/>
      <c r="L1523" s="70"/>
      <c r="M1523" s="70"/>
      <c r="N1523" s="70"/>
    </row>
    <row r="1524" spans="11:14">
      <c r="K1524" s="70"/>
      <c r="L1524" s="70"/>
      <c r="M1524" s="70"/>
      <c r="N1524" s="70"/>
    </row>
    <row r="1525" spans="11:14">
      <c r="K1525" s="70"/>
      <c r="L1525" s="70"/>
      <c r="M1525" s="70"/>
      <c r="N1525" s="70"/>
    </row>
    <row r="1526" spans="11:14">
      <c r="K1526" s="70"/>
      <c r="L1526" s="70"/>
      <c r="M1526" s="70"/>
      <c r="N1526" s="70"/>
    </row>
    <row r="1527" spans="11:14">
      <c r="K1527" s="70"/>
      <c r="L1527" s="70"/>
      <c r="M1527" s="70"/>
      <c r="N1527" s="70"/>
    </row>
    <row r="1528" spans="11:14">
      <c r="K1528" s="70"/>
      <c r="L1528" s="70"/>
      <c r="M1528" s="70"/>
      <c r="N1528" s="70"/>
    </row>
    <row r="1529" spans="11:14">
      <c r="K1529" s="70"/>
      <c r="L1529" s="70"/>
      <c r="M1529" s="70"/>
      <c r="N1529" s="70"/>
    </row>
    <row r="1530" spans="11:14">
      <c r="K1530" s="70"/>
      <c r="L1530" s="70"/>
      <c r="M1530" s="70"/>
      <c r="N1530" s="70"/>
    </row>
    <row r="1531" spans="11:14">
      <c r="K1531" s="70"/>
      <c r="L1531" s="70"/>
      <c r="M1531" s="70"/>
      <c r="N1531" s="70"/>
    </row>
    <row r="1532" spans="11:14">
      <c r="K1532" s="70"/>
      <c r="L1532" s="70"/>
      <c r="M1532" s="70"/>
      <c r="N1532" s="70"/>
    </row>
    <row r="1533" spans="11:14">
      <c r="K1533" s="70"/>
      <c r="L1533" s="70"/>
      <c r="M1533" s="70"/>
      <c r="N1533" s="70"/>
    </row>
    <row r="1534" spans="11:14">
      <c r="K1534" s="70"/>
      <c r="L1534" s="70"/>
      <c r="M1534" s="70"/>
      <c r="N1534" s="70"/>
    </row>
    <row r="1535" spans="11:14">
      <c r="K1535" s="70"/>
      <c r="L1535" s="70"/>
      <c r="M1535" s="70"/>
      <c r="N1535" s="70"/>
    </row>
    <row r="1536" spans="11:14">
      <c r="K1536" s="70"/>
      <c r="L1536" s="70"/>
      <c r="M1536" s="70"/>
      <c r="N1536" s="70"/>
    </row>
    <row r="1537" spans="11:14">
      <c r="K1537" s="70"/>
      <c r="L1537" s="70"/>
      <c r="M1537" s="70"/>
      <c r="N1537" s="70"/>
    </row>
    <row r="1538" spans="11:14">
      <c r="K1538" s="70"/>
      <c r="L1538" s="70"/>
      <c r="M1538" s="70"/>
      <c r="N1538" s="70"/>
    </row>
    <row r="1539" spans="11:14">
      <c r="K1539" s="70"/>
      <c r="L1539" s="70"/>
      <c r="M1539" s="70"/>
      <c r="N1539" s="70"/>
    </row>
    <row r="1540" spans="11:14">
      <c r="K1540" s="70"/>
      <c r="L1540" s="70"/>
      <c r="M1540" s="70"/>
      <c r="N1540" s="70"/>
    </row>
    <row r="1541" spans="11:14">
      <c r="K1541" s="70"/>
      <c r="L1541" s="70"/>
      <c r="M1541" s="70"/>
      <c r="N1541" s="70"/>
    </row>
    <row r="1542" spans="11:14">
      <c r="K1542" s="70"/>
      <c r="L1542" s="70"/>
      <c r="M1542" s="70"/>
      <c r="N1542" s="70"/>
    </row>
    <row r="1543" spans="11:14">
      <c r="K1543" s="70"/>
      <c r="L1543" s="70"/>
      <c r="M1543" s="70"/>
      <c r="N1543" s="70"/>
    </row>
    <row r="1544" spans="11:14">
      <c r="K1544" s="70"/>
      <c r="L1544" s="70"/>
      <c r="M1544" s="70"/>
      <c r="N1544" s="70"/>
    </row>
    <row r="1545" spans="11:14">
      <c r="K1545" s="70"/>
      <c r="L1545" s="70"/>
      <c r="M1545" s="70"/>
      <c r="N1545" s="70"/>
    </row>
    <row r="1546" spans="11:14">
      <c r="K1546" s="70"/>
      <c r="L1546" s="70"/>
      <c r="M1546" s="70"/>
      <c r="N1546" s="70"/>
    </row>
    <row r="1547" spans="11:14">
      <c r="K1547" s="70"/>
      <c r="L1547" s="70"/>
      <c r="M1547" s="70"/>
      <c r="N1547" s="70"/>
    </row>
    <row r="1548" spans="11:14">
      <c r="K1548" s="70"/>
      <c r="L1548" s="70"/>
      <c r="M1548" s="70"/>
      <c r="N1548" s="70"/>
    </row>
    <row r="1549" spans="11:14">
      <c r="K1549" s="70"/>
      <c r="L1549" s="70"/>
      <c r="M1549" s="70"/>
      <c r="N1549" s="70"/>
    </row>
    <row r="1550" spans="11:14">
      <c r="K1550" s="70"/>
      <c r="L1550" s="70"/>
      <c r="M1550" s="70"/>
      <c r="N1550" s="70"/>
    </row>
    <row r="1551" spans="11:14">
      <c r="K1551" s="70"/>
      <c r="L1551" s="70"/>
      <c r="M1551" s="70"/>
      <c r="N1551" s="70"/>
    </row>
    <row r="1552" spans="11:14">
      <c r="K1552" s="70"/>
      <c r="L1552" s="70"/>
      <c r="M1552" s="70"/>
      <c r="N1552" s="70"/>
    </row>
    <row r="1553" spans="11:14">
      <c r="K1553" s="70"/>
      <c r="L1553" s="70"/>
      <c r="M1553" s="70"/>
      <c r="N1553" s="70"/>
    </row>
    <row r="1554" spans="11:14">
      <c r="K1554" s="70"/>
      <c r="L1554" s="70"/>
      <c r="M1554" s="70"/>
      <c r="N1554" s="70"/>
    </row>
    <row r="1555" spans="11:14">
      <c r="K1555" s="70"/>
      <c r="L1555" s="70"/>
      <c r="M1555" s="70"/>
      <c r="N1555" s="70"/>
    </row>
    <row r="1556" spans="11:14">
      <c r="K1556" s="70"/>
      <c r="L1556" s="70"/>
      <c r="M1556" s="70"/>
      <c r="N1556" s="70"/>
    </row>
    <row r="1557" spans="11:14">
      <c r="K1557" s="70"/>
      <c r="L1557" s="70"/>
      <c r="M1557" s="70"/>
      <c r="N1557" s="70"/>
    </row>
    <row r="1558" spans="11:14">
      <c r="K1558" s="70"/>
      <c r="L1558" s="70"/>
      <c r="M1558" s="70"/>
      <c r="N1558" s="70"/>
    </row>
    <row r="1559" spans="11:14">
      <c r="K1559" s="70"/>
      <c r="L1559" s="70"/>
      <c r="M1559" s="70"/>
      <c r="N1559" s="70"/>
    </row>
    <row r="1560" spans="11:14">
      <c r="K1560" s="70"/>
      <c r="L1560" s="70"/>
      <c r="M1560" s="70"/>
      <c r="N1560" s="70"/>
    </row>
    <row r="1561" spans="11:14">
      <c r="K1561" s="70"/>
      <c r="L1561" s="70"/>
      <c r="M1561" s="70"/>
      <c r="N1561" s="70"/>
    </row>
    <row r="1562" spans="11:14">
      <c r="K1562" s="70"/>
      <c r="L1562" s="70"/>
      <c r="M1562" s="70"/>
      <c r="N1562" s="70"/>
    </row>
    <row r="1563" spans="11:14">
      <c r="K1563" s="70"/>
      <c r="L1563" s="70"/>
      <c r="M1563" s="70"/>
      <c r="N1563" s="70"/>
    </row>
    <row r="1564" spans="11:14">
      <c r="K1564" s="70"/>
      <c r="L1564" s="70"/>
      <c r="M1564" s="70"/>
      <c r="N1564" s="70"/>
    </row>
    <row r="1565" spans="11:14">
      <c r="K1565" s="70"/>
      <c r="L1565" s="70"/>
      <c r="M1565" s="70"/>
      <c r="N1565" s="70"/>
    </row>
    <row r="1566" spans="11:14">
      <c r="K1566" s="70"/>
      <c r="L1566" s="70"/>
      <c r="M1566" s="70"/>
      <c r="N1566" s="70"/>
    </row>
    <row r="1567" spans="11:14">
      <c r="K1567" s="70"/>
      <c r="L1567" s="70"/>
      <c r="M1567" s="70"/>
      <c r="N1567" s="70"/>
    </row>
    <row r="1568" spans="11:14">
      <c r="K1568" s="70"/>
      <c r="L1568" s="70"/>
      <c r="M1568" s="70"/>
      <c r="N1568" s="70"/>
    </row>
    <row r="1569" spans="11:14">
      <c r="K1569" s="70"/>
      <c r="L1569" s="70"/>
      <c r="M1569" s="70"/>
      <c r="N1569" s="70"/>
    </row>
    <row r="1570" spans="11:14">
      <c r="K1570" s="70"/>
      <c r="L1570" s="70"/>
      <c r="M1570" s="70"/>
      <c r="N1570" s="70"/>
    </row>
    <row r="1571" spans="11:14">
      <c r="K1571" s="70"/>
      <c r="L1571" s="70"/>
      <c r="M1571" s="70"/>
      <c r="N1571" s="70"/>
    </row>
    <row r="1572" spans="11:14">
      <c r="K1572" s="70"/>
      <c r="L1572" s="70"/>
      <c r="M1572" s="70"/>
      <c r="N1572" s="70"/>
    </row>
    <row r="1573" spans="11:14">
      <c r="K1573" s="70"/>
      <c r="L1573" s="70"/>
      <c r="M1573" s="70"/>
      <c r="N1573" s="70"/>
    </row>
    <row r="1574" spans="11:14">
      <c r="K1574" s="70"/>
      <c r="L1574" s="70"/>
      <c r="M1574" s="70"/>
      <c r="N1574" s="70"/>
    </row>
    <row r="1575" spans="11:14">
      <c r="K1575" s="70"/>
      <c r="L1575" s="70"/>
      <c r="M1575" s="70"/>
      <c r="N1575" s="70"/>
    </row>
    <row r="1576" spans="11:14">
      <c r="K1576" s="70"/>
      <c r="L1576" s="70"/>
      <c r="M1576" s="70"/>
      <c r="N1576" s="70"/>
    </row>
    <row r="1577" spans="11:14">
      <c r="K1577" s="70"/>
      <c r="L1577" s="70"/>
      <c r="M1577" s="70"/>
      <c r="N1577" s="70"/>
    </row>
    <row r="1578" spans="11:14">
      <c r="K1578" s="70"/>
      <c r="L1578" s="70"/>
      <c r="M1578" s="70"/>
      <c r="N1578" s="70"/>
    </row>
    <row r="1579" spans="11:14">
      <c r="K1579" s="70"/>
      <c r="L1579" s="70"/>
      <c r="M1579" s="70"/>
      <c r="N1579" s="70"/>
    </row>
    <row r="1580" spans="11:14">
      <c r="K1580" s="70"/>
      <c r="L1580" s="70"/>
      <c r="M1580" s="70"/>
      <c r="N1580" s="70"/>
    </row>
    <row r="1581" spans="11:14">
      <c r="K1581" s="70"/>
      <c r="L1581" s="70"/>
      <c r="M1581" s="70"/>
      <c r="N1581" s="70"/>
    </row>
    <row r="1582" spans="11:14">
      <c r="K1582" s="70"/>
      <c r="L1582" s="70"/>
      <c r="M1582" s="70"/>
      <c r="N1582" s="70"/>
    </row>
    <row r="1583" spans="11:14">
      <c r="K1583" s="70"/>
      <c r="L1583" s="70"/>
      <c r="M1583" s="70"/>
      <c r="N1583" s="70"/>
    </row>
    <row r="1584" spans="11:14">
      <c r="K1584" s="70"/>
      <c r="L1584" s="70"/>
      <c r="M1584" s="70"/>
      <c r="N1584" s="70"/>
    </row>
    <row r="1585" spans="11:14">
      <c r="K1585" s="70"/>
      <c r="L1585" s="70"/>
      <c r="M1585" s="70"/>
      <c r="N1585" s="70"/>
    </row>
    <row r="1586" spans="11:14">
      <c r="K1586" s="70"/>
      <c r="L1586" s="70"/>
      <c r="M1586" s="70"/>
      <c r="N1586" s="70"/>
    </row>
    <row r="1587" spans="11:14">
      <c r="K1587" s="70"/>
      <c r="L1587" s="70"/>
      <c r="M1587" s="70"/>
      <c r="N1587" s="70"/>
    </row>
    <row r="1588" spans="11:14">
      <c r="K1588" s="70"/>
      <c r="L1588" s="70"/>
      <c r="M1588" s="70"/>
      <c r="N1588" s="70"/>
    </row>
    <row r="1589" spans="11:14">
      <c r="K1589" s="70"/>
      <c r="L1589" s="70"/>
      <c r="M1589" s="70"/>
      <c r="N1589" s="70"/>
    </row>
    <row r="1590" spans="11:14">
      <c r="K1590" s="70"/>
      <c r="L1590" s="70"/>
      <c r="M1590" s="70"/>
      <c r="N1590" s="70"/>
    </row>
    <row r="1591" spans="11:14">
      <c r="K1591" s="70"/>
      <c r="L1591" s="70"/>
      <c r="M1591" s="70"/>
      <c r="N1591" s="70"/>
    </row>
    <row r="1592" spans="11:14">
      <c r="K1592" s="70"/>
      <c r="L1592" s="70"/>
      <c r="M1592" s="70"/>
      <c r="N1592" s="70"/>
    </row>
    <row r="1593" spans="11:14">
      <c r="K1593" s="70"/>
      <c r="L1593" s="70"/>
      <c r="M1593" s="70"/>
      <c r="N1593" s="70"/>
    </row>
    <row r="1594" spans="11:14">
      <c r="K1594" s="70"/>
      <c r="L1594" s="70"/>
      <c r="M1594" s="70"/>
      <c r="N1594" s="70"/>
    </row>
    <row r="1595" spans="11:14">
      <c r="K1595" s="70"/>
      <c r="L1595" s="70"/>
      <c r="M1595" s="70"/>
      <c r="N1595" s="70"/>
    </row>
    <row r="1596" spans="11:14">
      <c r="K1596" s="70"/>
      <c r="L1596" s="70"/>
      <c r="M1596" s="70"/>
      <c r="N1596" s="70"/>
    </row>
    <row r="1597" spans="11:14">
      <c r="K1597" s="70"/>
      <c r="L1597" s="70"/>
      <c r="M1597" s="70"/>
      <c r="N1597" s="70"/>
    </row>
    <row r="1598" spans="11:14">
      <c r="K1598" s="70"/>
      <c r="L1598" s="70"/>
      <c r="M1598" s="70"/>
      <c r="N1598" s="70"/>
    </row>
    <row r="1599" spans="11:14">
      <c r="K1599" s="70"/>
      <c r="L1599" s="70"/>
      <c r="M1599" s="70"/>
      <c r="N1599" s="70"/>
    </row>
    <row r="1600" spans="11:14">
      <c r="K1600" s="70"/>
      <c r="L1600" s="70"/>
      <c r="M1600" s="70"/>
      <c r="N1600" s="70"/>
    </row>
    <row r="1601" spans="11:14">
      <c r="K1601" s="70"/>
      <c r="L1601" s="70"/>
      <c r="M1601" s="70"/>
      <c r="N1601" s="70"/>
    </row>
    <row r="1602" spans="11:14">
      <c r="K1602" s="70"/>
      <c r="L1602" s="70"/>
      <c r="M1602" s="70"/>
      <c r="N1602" s="70"/>
    </row>
    <row r="1603" spans="11:14">
      <c r="K1603" s="70"/>
      <c r="L1603" s="70"/>
      <c r="M1603" s="70"/>
      <c r="N1603" s="70"/>
    </row>
    <row r="1604" spans="11:14">
      <c r="K1604" s="70"/>
      <c r="L1604" s="70"/>
      <c r="M1604" s="70"/>
      <c r="N1604" s="70"/>
    </row>
    <row r="1605" spans="11:14">
      <c r="K1605" s="70"/>
      <c r="L1605" s="70"/>
      <c r="M1605" s="70"/>
      <c r="N1605" s="70"/>
    </row>
    <row r="1606" spans="11:14">
      <c r="K1606" s="70"/>
      <c r="L1606" s="70"/>
      <c r="M1606" s="70"/>
      <c r="N1606" s="70"/>
    </row>
    <row r="1607" spans="11:14">
      <c r="K1607" s="70"/>
      <c r="L1607" s="70"/>
      <c r="M1607" s="70"/>
      <c r="N1607" s="70"/>
    </row>
    <row r="1608" spans="11:14">
      <c r="K1608" s="70"/>
      <c r="L1608" s="70"/>
      <c r="M1608" s="70"/>
      <c r="N1608" s="70"/>
    </row>
    <row r="1609" spans="11:14">
      <c r="K1609" s="70"/>
      <c r="L1609" s="70"/>
      <c r="M1609" s="70"/>
      <c r="N1609" s="70"/>
    </row>
    <row r="1610" spans="11:14">
      <c r="K1610" s="70"/>
      <c r="L1610" s="70"/>
      <c r="M1610" s="70"/>
      <c r="N1610" s="70"/>
    </row>
    <row r="1611" spans="11:14">
      <c r="K1611" s="70"/>
      <c r="L1611" s="70"/>
      <c r="M1611" s="70"/>
      <c r="N1611" s="70"/>
    </row>
    <row r="1612" spans="11:14">
      <c r="K1612" s="70"/>
      <c r="L1612" s="70"/>
      <c r="M1612" s="70"/>
      <c r="N1612" s="70"/>
    </row>
    <row r="1613" spans="11:14">
      <c r="K1613" s="70"/>
      <c r="L1613" s="70"/>
      <c r="M1613" s="70"/>
      <c r="N1613" s="70"/>
    </row>
    <row r="1614" spans="11:14">
      <c r="K1614" s="70"/>
      <c r="L1614" s="70"/>
      <c r="M1614" s="70"/>
      <c r="N1614" s="70"/>
    </row>
    <row r="1615" spans="11:14">
      <c r="K1615" s="70"/>
      <c r="L1615" s="70"/>
      <c r="M1615" s="70"/>
      <c r="N1615" s="70"/>
    </row>
    <row r="1616" spans="11:14">
      <c r="K1616" s="70"/>
      <c r="L1616" s="70"/>
      <c r="M1616" s="70"/>
      <c r="N1616" s="70"/>
    </row>
    <row r="1617" spans="11:14">
      <c r="K1617" s="70"/>
      <c r="L1617" s="70"/>
      <c r="M1617" s="70"/>
      <c r="N1617" s="70"/>
    </row>
    <row r="1618" spans="11:14">
      <c r="K1618" s="70"/>
      <c r="L1618" s="70"/>
      <c r="M1618" s="70"/>
      <c r="N1618" s="70"/>
    </row>
    <row r="1619" spans="11:14">
      <c r="K1619" s="70"/>
      <c r="L1619" s="70"/>
      <c r="M1619" s="70"/>
      <c r="N1619" s="70"/>
    </row>
    <row r="1620" spans="11:14">
      <c r="K1620" s="70"/>
      <c r="L1620" s="70"/>
      <c r="M1620" s="70"/>
      <c r="N1620" s="70"/>
    </row>
    <row r="1621" spans="11:14">
      <c r="K1621" s="70"/>
      <c r="L1621" s="70"/>
      <c r="M1621" s="70"/>
      <c r="N1621" s="70"/>
    </row>
    <row r="1622" spans="11:14">
      <c r="K1622" s="70"/>
      <c r="L1622" s="70"/>
      <c r="M1622" s="70"/>
      <c r="N1622" s="70"/>
    </row>
    <row r="1623" spans="11:14">
      <c r="K1623" s="70"/>
      <c r="L1623" s="70"/>
      <c r="M1623" s="70"/>
      <c r="N1623" s="70"/>
    </row>
    <row r="1624" spans="11:14">
      <c r="K1624" s="70"/>
      <c r="L1624" s="70"/>
      <c r="M1624" s="70"/>
      <c r="N1624" s="70"/>
    </row>
    <row r="1625" spans="11:14">
      <c r="K1625" s="70"/>
      <c r="L1625" s="70"/>
      <c r="M1625" s="70"/>
      <c r="N1625" s="70"/>
    </row>
    <row r="1626" spans="11:14">
      <c r="K1626" s="70"/>
      <c r="L1626" s="70"/>
      <c r="M1626" s="70"/>
      <c r="N1626" s="70"/>
    </row>
    <row r="1627" spans="11:14">
      <c r="K1627" s="70"/>
      <c r="L1627" s="70"/>
      <c r="M1627" s="70"/>
      <c r="N1627" s="70"/>
    </row>
    <row r="1628" spans="11:14">
      <c r="K1628" s="70"/>
      <c r="L1628" s="70"/>
      <c r="M1628" s="70"/>
      <c r="N1628" s="70"/>
    </row>
    <row r="1629" spans="11:14">
      <c r="K1629" s="70"/>
      <c r="L1629" s="70"/>
      <c r="M1629" s="70"/>
      <c r="N1629" s="70"/>
    </row>
    <row r="1630" spans="11:14">
      <c r="K1630" s="70"/>
      <c r="L1630" s="70"/>
      <c r="M1630" s="70"/>
      <c r="N1630" s="70"/>
    </row>
    <row r="1631" spans="11:14">
      <c r="K1631" s="70"/>
      <c r="L1631" s="70"/>
      <c r="M1631" s="70"/>
      <c r="N1631" s="70"/>
    </row>
    <row r="1632" spans="11:14">
      <c r="K1632" s="70"/>
      <c r="L1632" s="70"/>
      <c r="M1632" s="70"/>
      <c r="N1632" s="70"/>
    </row>
    <row r="1633" spans="11:14">
      <c r="K1633" s="70"/>
      <c r="L1633" s="70"/>
      <c r="M1633" s="70"/>
      <c r="N1633" s="70"/>
    </row>
    <row r="1634" spans="11:14">
      <c r="K1634" s="70"/>
      <c r="L1634" s="70"/>
      <c r="M1634" s="70"/>
      <c r="N1634" s="70"/>
    </row>
    <row r="1635" spans="11:14">
      <c r="K1635" s="70"/>
      <c r="L1635" s="70"/>
      <c r="M1635" s="70"/>
      <c r="N1635" s="70"/>
    </row>
    <row r="1636" spans="11:14">
      <c r="K1636" s="70"/>
      <c r="L1636" s="70"/>
      <c r="M1636" s="70"/>
      <c r="N1636" s="70"/>
    </row>
    <row r="1637" spans="11:14">
      <c r="K1637" s="70"/>
      <c r="L1637" s="70"/>
      <c r="M1637" s="70"/>
      <c r="N1637" s="70"/>
    </row>
    <row r="1638" spans="11:14">
      <c r="K1638" s="70"/>
      <c r="L1638" s="70"/>
      <c r="M1638" s="70"/>
      <c r="N1638" s="70"/>
    </row>
    <row r="1639" spans="11:14">
      <c r="K1639" s="70"/>
      <c r="L1639" s="70"/>
      <c r="M1639" s="70"/>
      <c r="N1639" s="70"/>
    </row>
    <row r="1640" spans="11:14">
      <c r="K1640" s="70"/>
      <c r="L1640" s="70"/>
      <c r="M1640" s="70"/>
      <c r="N1640" s="70"/>
    </row>
    <row r="1641" spans="11:14">
      <c r="K1641" s="70"/>
      <c r="L1641" s="70"/>
      <c r="M1641" s="70"/>
      <c r="N1641" s="70"/>
    </row>
    <row r="1642" spans="11:14">
      <c r="K1642" s="70"/>
      <c r="L1642" s="70"/>
      <c r="M1642" s="70"/>
      <c r="N1642" s="70"/>
    </row>
    <row r="1643" spans="11:14">
      <c r="K1643" s="70"/>
      <c r="L1643" s="70"/>
      <c r="M1643" s="70"/>
      <c r="N1643" s="70"/>
    </row>
    <row r="1644" spans="11:14">
      <c r="K1644" s="70"/>
      <c r="L1644" s="70"/>
      <c r="M1644" s="70"/>
      <c r="N1644" s="70"/>
    </row>
    <row r="1645" spans="11:14">
      <c r="K1645" s="70"/>
      <c r="L1645" s="70"/>
      <c r="M1645" s="70"/>
      <c r="N1645" s="70"/>
    </row>
    <row r="1646" spans="11:14">
      <c r="K1646" s="70"/>
      <c r="L1646" s="70"/>
      <c r="M1646" s="70"/>
      <c r="N1646" s="70"/>
    </row>
    <row r="1647" spans="11:14">
      <c r="K1647" s="70"/>
      <c r="L1647" s="70"/>
      <c r="M1647" s="70"/>
      <c r="N1647" s="70"/>
    </row>
    <row r="1648" spans="11:14">
      <c r="K1648" s="70"/>
      <c r="L1648" s="70"/>
      <c r="M1648" s="70"/>
      <c r="N1648" s="70"/>
    </row>
    <row r="1649" spans="11:14">
      <c r="K1649" s="70"/>
      <c r="L1649" s="70"/>
      <c r="M1649" s="70"/>
      <c r="N1649" s="70"/>
    </row>
    <row r="1650" spans="11:14">
      <c r="K1650" s="70"/>
      <c r="L1650" s="70"/>
      <c r="M1650" s="70"/>
      <c r="N1650" s="70"/>
    </row>
    <row r="1651" spans="11:14">
      <c r="K1651" s="70"/>
      <c r="L1651" s="70"/>
      <c r="M1651" s="70"/>
      <c r="N1651" s="70"/>
    </row>
    <row r="1652" spans="11:14">
      <c r="K1652" s="70"/>
      <c r="L1652" s="70"/>
      <c r="M1652" s="70"/>
      <c r="N1652" s="70"/>
    </row>
    <row r="1653" spans="11:14">
      <c r="K1653" s="70"/>
      <c r="L1653" s="70"/>
      <c r="M1653" s="70"/>
      <c r="N1653" s="70"/>
    </row>
    <row r="1654" spans="11:14">
      <c r="K1654" s="70"/>
      <c r="L1654" s="70"/>
      <c r="M1654" s="70"/>
      <c r="N1654" s="70"/>
    </row>
    <row r="1655" spans="11:14">
      <c r="K1655" s="70"/>
      <c r="L1655" s="70"/>
      <c r="M1655" s="70"/>
      <c r="N1655" s="70"/>
    </row>
    <row r="1656" spans="11:14">
      <c r="K1656" s="70"/>
      <c r="L1656" s="70"/>
      <c r="M1656" s="70"/>
      <c r="N1656" s="70"/>
    </row>
    <row r="1657" spans="11:14">
      <c r="K1657" s="70"/>
      <c r="L1657" s="70"/>
      <c r="M1657" s="70"/>
      <c r="N1657" s="70"/>
    </row>
    <row r="1658" spans="11:14">
      <c r="K1658" s="70"/>
      <c r="L1658" s="70"/>
      <c r="M1658" s="70"/>
      <c r="N1658" s="70"/>
    </row>
    <row r="1659" spans="11:14">
      <c r="K1659" s="70"/>
      <c r="L1659" s="70"/>
      <c r="M1659" s="70"/>
      <c r="N1659" s="70"/>
    </row>
    <row r="1660" spans="11:14">
      <c r="K1660" s="70"/>
      <c r="L1660" s="70"/>
      <c r="M1660" s="70"/>
      <c r="N1660" s="70"/>
    </row>
    <row r="1661" spans="11:14">
      <c r="K1661" s="70"/>
      <c r="L1661" s="70"/>
      <c r="M1661" s="70"/>
      <c r="N1661" s="70"/>
    </row>
    <row r="1662" spans="11:14">
      <c r="K1662" s="70"/>
      <c r="L1662" s="70"/>
      <c r="M1662" s="70"/>
      <c r="N1662" s="70"/>
    </row>
    <row r="1663" spans="11:14">
      <c r="K1663" s="70"/>
      <c r="L1663" s="70"/>
      <c r="M1663" s="70"/>
      <c r="N1663" s="70"/>
    </row>
    <row r="1664" spans="11:14">
      <c r="K1664" s="70"/>
      <c r="L1664" s="70"/>
      <c r="M1664" s="70"/>
      <c r="N1664" s="70"/>
    </row>
    <row r="1665" spans="11:14">
      <c r="K1665" s="70"/>
      <c r="L1665" s="70"/>
      <c r="M1665" s="70"/>
      <c r="N1665" s="70"/>
    </row>
    <row r="1666" spans="11:14">
      <c r="K1666" s="70"/>
      <c r="L1666" s="70"/>
      <c r="M1666" s="70"/>
      <c r="N1666" s="70"/>
    </row>
    <row r="1667" spans="11:14">
      <c r="K1667" s="70"/>
      <c r="L1667" s="70"/>
      <c r="M1667" s="70"/>
      <c r="N1667" s="70"/>
    </row>
    <row r="1668" spans="11:14">
      <c r="K1668" s="70"/>
      <c r="L1668" s="70"/>
      <c r="M1668" s="70"/>
      <c r="N1668" s="70"/>
    </row>
    <row r="1669" spans="11:14">
      <c r="K1669" s="70"/>
      <c r="L1669" s="70"/>
      <c r="M1669" s="70"/>
      <c r="N1669" s="70"/>
    </row>
    <row r="1670" spans="11:14">
      <c r="K1670" s="70"/>
      <c r="L1670" s="70"/>
      <c r="M1670" s="70"/>
      <c r="N1670" s="70"/>
    </row>
    <row r="1671" spans="11:14">
      <c r="K1671" s="70"/>
      <c r="L1671" s="70"/>
      <c r="M1671" s="70"/>
      <c r="N1671" s="70"/>
    </row>
    <row r="1672" spans="11:14">
      <c r="K1672" s="70"/>
      <c r="L1672" s="70"/>
      <c r="M1672" s="70"/>
      <c r="N1672" s="70"/>
    </row>
    <row r="1673" spans="11:14">
      <c r="K1673" s="70"/>
      <c r="L1673" s="70"/>
      <c r="M1673" s="70"/>
      <c r="N1673" s="70"/>
    </row>
    <row r="1674" spans="11:14">
      <c r="K1674" s="70"/>
      <c r="L1674" s="70"/>
      <c r="M1674" s="70"/>
      <c r="N1674" s="70"/>
    </row>
    <row r="1675" spans="11:14">
      <c r="K1675" s="70"/>
      <c r="L1675" s="70"/>
      <c r="M1675" s="70"/>
      <c r="N1675" s="70"/>
    </row>
    <row r="1676" spans="11:14">
      <c r="K1676" s="70"/>
      <c r="L1676" s="70"/>
      <c r="M1676" s="70"/>
      <c r="N1676" s="70"/>
    </row>
    <row r="1677" spans="11:14">
      <c r="K1677" s="70"/>
      <c r="L1677" s="70"/>
      <c r="M1677" s="70"/>
      <c r="N1677" s="70"/>
    </row>
    <row r="1678" spans="11:14">
      <c r="K1678" s="70"/>
      <c r="L1678" s="70"/>
      <c r="M1678" s="70"/>
      <c r="N1678" s="70"/>
    </row>
    <row r="1679" spans="11:14">
      <c r="K1679" s="70"/>
      <c r="L1679" s="70"/>
      <c r="M1679" s="70"/>
      <c r="N1679" s="70"/>
    </row>
    <row r="1680" spans="11:14">
      <c r="K1680" s="70"/>
      <c r="L1680" s="70"/>
      <c r="M1680" s="70"/>
      <c r="N1680" s="70"/>
    </row>
    <row r="1681" spans="11:14">
      <c r="K1681" s="70"/>
      <c r="L1681" s="70"/>
      <c r="M1681" s="70"/>
      <c r="N1681" s="70"/>
    </row>
    <row r="1682" spans="11:14">
      <c r="K1682" s="70"/>
      <c r="L1682" s="70"/>
      <c r="M1682" s="70"/>
      <c r="N1682" s="70"/>
    </row>
    <row r="1683" spans="11:14">
      <c r="K1683" s="70"/>
      <c r="L1683" s="70"/>
      <c r="M1683" s="70"/>
      <c r="N1683" s="70"/>
    </row>
    <row r="1684" spans="11:14">
      <c r="K1684" s="70"/>
      <c r="L1684" s="70"/>
      <c r="M1684" s="70"/>
      <c r="N1684" s="70"/>
    </row>
    <row r="1685" spans="11:14">
      <c r="K1685" s="70"/>
      <c r="L1685" s="70"/>
      <c r="M1685" s="70"/>
      <c r="N1685" s="70"/>
    </row>
    <row r="1686" spans="11:14">
      <c r="K1686" s="70"/>
      <c r="L1686" s="70"/>
      <c r="M1686" s="70"/>
      <c r="N1686" s="70"/>
    </row>
    <row r="1687" spans="11:14">
      <c r="K1687" s="70"/>
      <c r="L1687" s="70"/>
      <c r="M1687" s="70"/>
      <c r="N1687" s="70"/>
    </row>
    <row r="1688" spans="11:14">
      <c r="K1688" s="70"/>
      <c r="L1688" s="70"/>
      <c r="M1688" s="70"/>
      <c r="N1688" s="70"/>
    </row>
    <row r="1689" spans="11:14">
      <c r="K1689" s="70"/>
      <c r="L1689" s="70"/>
      <c r="M1689" s="70"/>
      <c r="N1689" s="70"/>
    </row>
    <row r="1690" spans="11:14">
      <c r="K1690" s="70"/>
      <c r="L1690" s="70"/>
      <c r="M1690" s="70"/>
      <c r="N1690" s="70"/>
    </row>
    <row r="1691" spans="11:14">
      <c r="K1691" s="70"/>
      <c r="L1691" s="70"/>
      <c r="M1691" s="70"/>
      <c r="N1691" s="70"/>
    </row>
    <row r="1692" spans="11:14">
      <c r="K1692" s="70"/>
      <c r="L1692" s="70"/>
      <c r="M1692" s="70"/>
      <c r="N1692" s="70"/>
    </row>
    <row r="1693" spans="11:14">
      <c r="K1693" s="70"/>
      <c r="L1693" s="70"/>
      <c r="M1693" s="70"/>
      <c r="N1693" s="70"/>
    </row>
    <row r="1694" spans="11:14">
      <c r="K1694" s="70"/>
      <c r="L1694" s="70"/>
      <c r="M1694" s="70"/>
      <c r="N1694" s="70"/>
    </row>
    <row r="1695" spans="11:14">
      <c r="K1695" s="70"/>
      <c r="L1695" s="70"/>
      <c r="M1695" s="70"/>
      <c r="N1695" s="70"/>
    </row>
    <row r="1696" spans="11:14">
      <c r="K1696" s="70"/>
      <c r="L1696" s="70"/>
      <c r="M1696" s="70"/>
      <c r="N1696" s="70"/>
    </row>
    <row r="1697" spans="11:14">
      <c r="K1697" s="70"/>
      <c r="L1697" s="70"/>
      <c r="M1697" s="70"/>
      <c r="N1697" s="70"/>
    </row>
    <row r="1698" spans="11:14">
      <c r="K1698" s="70"/>
      <c r="L1698" s="70"/>
      <c r="M1698" s="70"/>
      <c r="N1698" s="70"/>
    </row>
    <row r="1699" spans="11:14">
      <c r="K1699" s="70"/>
      <c r="L1699" s="70"/>
      <c r="M1699" s="70"/>
      <c r="N1699" s="70"/>
    </row>
    <row r="1700" spans="11:14">
      <c r="K1700" s="70"/>
      <c r="L1700" s="70"/>
      <c r="M1700" s="70"/>
      <c r="N1700" s="70"/>
    </row>
    <row r="1701" spans="11:14">
      <c r="K1701" s="70"/>
      <c r="L1701" s="70"/>
      <c r="M1701" s="70"/>
      <c r="N1701" s="70"/>
    </row>
    <row r="1702" spans="11:14">
      <c r="K1702" s="70"/>
      <c r="L1702" s="70"/>
      <c r="M1702" s="70"/>
      <c r="N1702" s="70"/>
    </row>
    <row r="1703" spans="11:14">
      <c r="K1703" s="70"/>
      <c r="L1703" s="70"/>
      <c r="M1703" s="70"/>
      <c r="N1703" s="70"/>
    </row>
    <row r="1704" spans="11:14">
      <c r="K1704" s="70"/>
      <c r="L1704" s="70"/>
      <c r="M1704" s="70"/>
      <c r="N1704" s="70"/>
    </row>
    <row r="1705" spans="11:14">
      <c r="K1705" s="70"/>
      <c r="L1705" s="70"/>
      <c r="M1705" s="70"/>
      <c r="N1705" s="70"/>
    </row>
    <row r="1706" spans="11:14">
      <c r="K1706" s="70"/>
      <c r="L1706" s="70"/>
      <c r="M1706" s="70"/>
      <c r="N1706" s="70"/>
    </row>
    <row r="1707" spans="11:14">
      <c r="K1707" s="70"/>
      <c r="L1707" s="70"/>
      <c r="M1707" s="70"/>
      <c r="N1707" s="70"/>
    </row>
    <row r="1708" spans="11:14">
      <c r="K1708" s="70"/>
      <c r="L1708" s="70"/>
      <c r="M1708" s="70"/>
      <c r="N1708" s="70"/>
    </row>
    <row r="1709" spans="11:14">
      <c r="K1709" s="70"/>
      <c r="L1709" s="70"/>
      <c r="M1709" s="70"/>
      <c r="N1709" s="70"/>
    </row>
    <row r="1710" spans="11:14">
      <c r="K1710" s="70"/>
      <c r="L1710" s="70"/>
      <c r="M1710" s="70"/>
      <c r="N1710" s="70"/>
    </row>
    <row r="1711" spans="11:14">
      <c r="K1711" s="70"/>
      <c r="L1711" s="70"/>
      <c r="M1711" s="70"/>
      <c r="N1711" s="70"/>
    </row>
    <row r="1712" spans="11:14">
      <c r="K1712" s="70"/>
      <c r="L1712" s="70"/>
      <c r="M1712" s="70"/>
      <c r="N1712" s="70"/>
    </row>
    <row r="1713" spans="11:14">
      <c r="K1713" s="70"/>
      <c r="L1713" s="70"/>
      <c r="M1713" s="70"/>
      <c r="N1713" s="70"/>
    </row>
    <row r="1714" spans="11:14">
      <c r="K1714" s="70"/>
      <c r="L1714" s="70"/>
      <c r="M1714" s="70"/>
      <c r="N1714" s="70"/>
    </row>
    <row r="1715" spans="11:14">
      <c r="K1715" s="70"/>
      <c r="L1715" s="70"/>
      <c r="M1715" s="70"/>
      <c r="N1715" s="70"/>
    </row>
    <row r="1716" spans="11:14">
      <c r="K1716" s="70"/>
      <c r="L1716" s="70"/>
      <c r="M1716" s="70"/>
      <c r="N1716" s="70"/>
    </row>
    <row r="1717" spans="11:14">
      <c r="K1717" s="70"/>
      <c r="L1717" s="70"/>
      <c r="M1717" s="70"/>
      <c r="N1717" s="70"/>
    </row>
    <row r="1718" spans="11:14">
      <c r="K1718" s="70"/>
      <c r="L1718" s="70"/>
      <c r="M1718" s="70"/>
      <c r="N1718" s="70"/>
    </row>
    <row r="1719" spans="11:14">
      <c r="K1719" s="70"/>
      <c r="L1719" s="70"/>
      <c r="M1719" s="70"/>
      <c r="N1719" s="70"/>
    </row>
    <row r="1720" spans="11:14">
      <c r="K1720" s="70"/>
      <c r="L1720" s="70"/>
      <c r="M1720" s="70"/>
      <c r="N1720" s="70"/>
    </row>
    <row r="1721" spans="11:14">
      <c r="K1721" s="70"/>
      <c r="L1721" s="70"/>
      <c r="M1721" s="70"/>
      <c r="N1721" s="70"/>
    </row>
    <row r="1722" spans="11:14">
      <c r="K1722" s="70"/>
      <c r="L1722" s="70"/>
      <c r="M1722" s="70"/>
      <c r="N1722" s="70"/>
    </row>
    <row r="1723" spans="11:14">
      <c r="K1723" s="70"/>
      <c r="L1723" s="70"/>
      <c r="M1723" s="70"/>
      <c r="N1723" s="70"/>
    </row>
    <row r="1724" spans="11:14">
      <c r="K1724" s="70"/>
      <c r="L1724" s="70"/>
      <c r="M1724" s="70"/>
      <c r="N1724" s="70"/>
    </row>
    <row r="1725" spans="11:14">
      <c r="K1725" s="70"/>
      <c r="L1725" s="70"/>
      <c r="M1725" s="70"/>
      <c r="N1725" s="70"/>
    </row>
    <row r="1726" spans="11:14">
      <c r="K1726" s="70"/>
      <c r="L1726" s="70"/>
      <c r="M1726" s="70"/>
      <c r="N1726" s="70"/>
    </row>
    <row r="1727" spans="11:14">
      <c r="K1727" s="70"/>
      <c r="L1727" s="70"/>
      <c r="M1727" s="70"/>
      <c r="N1727" s="70"/>
    </row>
    <row r="1728" spans="11:14">
      <c r="K1728" s="70"/>
      <c r="L1728" s="70"/>
      <c r="M1728" s="70"/>
      <c r="N1728" s="70"/>
    </row>
    <row r="1729" spans="11:14">
      <c r="K1729" s="70"/>
      <c r="L1729" s="70"/>
      <c r="M1729" s="70"/>
      <c r="N1729" s="70"/>
    </row>
    <row r="1730" spans="11:14">
      <c r="K1730" s="70"/>
      <c r="L1730" s="70"/>
      <c r="M1730" s="70"/>
      <c r="N1730" s="70"/>
    </row>
    <row r="1731" spans="11:14">
      <c r="K1731" s="70"/>
      <c r="L1731" s="70"/>
      <c r="M1731" s="70"/>
      <c r="N1731" s="70"/>
    </row>
    <row r="1732" spans="11:14">
      <c r="K1732" s="70"/>
      <c r="L1732" s="70"/>
      <c r="M1732" s="70"/>
      <c r="N1732" s="70"/>
    </row>
    <row r="1733" spans="11:14">
      <c r="K1733" s="70"/>
      <c r="L1733" s="70"/>
      <c r="M1733" s="70"/>
      <c r="N1733" s="70"/>
    </row>
    <row r="1734" spans="11:14">
      <c r="K1734" s="70"/>
      <c r="L1734" s="70"/>
      <c r="M1734" s="70"/>
      <c r="N1734" s="70"/>
    </row>
    <row r="1735" spans="11:14">
      <c r="K1735" s="70"/>
      <c r="L1735" s="70"/>
      <c r="M1735" s="70"/>
      <c r="N1735" s="70"/>
    </row>
    <row r="1736" spans="11:14">
      <c r="K1736" s="70"/>
      <c r="L1736" s="70"/>
      <c r="M1736" s="70"/>
      <c r="N1736" s="70"/>
    </row>
    <row r="1737" spans="11:14">
      <c r="K1737" s="70"/>
      <c r="L1737" s="70"/>
      <c r="M1737" s="70"/>
      <c r="N1737" s="70"/>
    </row>
    <row r="1738" spans="11:14">
      <c r="K1738" s="70"/>
      <c r="L1738" s="70"/>
      <c r="M1738" s="70"/>
      <c r="N1738" s="70"/>
    </row>
    <row r="1739" spans="11:14">
      <c r="K1739" s="70"/>
      <c r="L1739" s="70"/>
      <c r="M1739" s="70"/>
      <c r="N1739" s="70"/>
    </row>
    <row r="1740" spans="11:14">
      <c r="K1740" s="70"/>
      <c r="L1740" s="70"/>
      <c r="M1740" s="70"/>
      <c r="N1740" s="70"/>
    </row>
    <row r="1741" spans="11:14">
      <c r="K1741" s="70"/>
      <c r="L1741" s="70"/>
      <c r="M1741" s="70"/>
      <c r="N1741" s="70"/>
    </row>
    <row r="1742" spans="11:14">
      <c r="K1742" s="70"/>
      <c r="L1742" s="70"/>
      <c r="M1742" s="70"/>
      <c r="N1742" s="70"/>
    </row>
    <row r="1743" spans="11:14">
      <c r="K1743" s="70"/>
      <c r="L1743" s="70"/>
      <c r="M1743" s="70"/>
      <c r="N1743" s="70"/>
    </row>
    <row r="1744" spans="11:14">
      <c r="K1744" s="70"/>
      <c r="L1744" s="70"/>
      <c r="M1744" s="70"/>
      <c r="N1744" s="70"/>
    </row>
    <row r="1745" spans="11:14">
      <c r="K1745" s="70"/>
      <c r="L1745" s="70"/>
      <c r="M1745" s="70"/>
      <c r="N1745" s="70"/>
    </row>
    <row r="1746" spans="11:14">
      <c r="K1746" s="70"/>
      <c r="L1746" s="70"/>
      <c r="M1746" s="70"/>
      <c r="N1746" s="70"/>
    </row>
    <row r="1747" spans="11:14">
      <c r="K1747" s="70"/>
      <c r="L1747" s="70"/>
      <c r="M1747" s="70"/>
      <c r="N1747" s="70"/>
    </row>
    <row r="1748" spans="11:14">
      <c r="K1748" s="70"/>
      <c r="L1748" s="70"/>
      <c r="M1748" s="70"/>
      <c r="N1748" s="70"/>
    </row>
    <row r="1749" spans="11:14">
      <c r="K1749" s="70"/>
      <c r="L1749" s="70"/>
      <c r="M1749" s="70"/>
      <c r="N1749" s="70"/>
    </row>
    <row r="1750" spans="11:14">
      <c r="K1750" s="70"/>
      <c r="L1750" s="70"/>
      <c r="M1750" s="70"/>
      <c r="N1750" s="70"/>
    </row>
    <row r="1751" spans="11:14">
      <c r="K1751" s="70"/>
      <c r="L1751" s="70"/>
      <c r="M1751" s="70"/>
      <c r="N1751" s="70"/>
    </row>
    <row r="1752" spans="11:14">
      <c r="K1752" s="70"/>
      <c r="L1752" s="70"/>
      <c r="M1752" s="70"/>
      <c r="N1752" s="70"/>
    </row>
    <row r="1753" spans="11:14">
      <c r="K1753" s="70"/>
      <c r="L1753" s="70"/>
      <c r="M1753" s="70"/>
      <c r="N1753" s="70"/>
    </row>
    <row r="1754" spans="11:14">
      <c r="K1754" s="70"/>
      <c r="L1754" s="70"/>
      <c r="M1754" s="70"/>
      <c r="N1754" s="70"/>
    </row>
    <row r="1755" spans="11:14">
      <c r="K1755" s="70"/>
      <c r="L1755" s="70"/>
      <c r="M1755" s="70"/>
      <c r="N1755" s="70"/>
    </row>
    <row r="1756" spans="11:14">
      <c r="K1756" s="70"/>
      <c r="L1756" s="70"/>
      <c r="M1756" s="70"/>
      <c r="N1756" s="70"/>
    </row>
    <row r="1757" spans="11:14">
      <c r="K1757" s="70"/>
      <c r="L1757" s="70"/>
      <c r="M1757" s="70"/>
      <c r="N1757" s="70"/>
    </row>
    <row r="1758" spans="11:14">
      <c r="K1758" s="70"/>
      <c r="L1758" s="70"/>
      <c r="M1758" s="70"/>
      <c r="N1758" s="70"/>
    </row>
    <row r="1759" spans="11:14">
      <c r="K1759" s="70"/>
      <c r="L1759" s="70"/>
      <c r="M1759" s="70"/>
      <c r="N1759" s="70"/>
    </row>
    <row r="1760" spans="11:14">
      <c r="K1760" s="70"/>
      <c r="L1760" s="70"/>
      <c r="M1760" s="70"/>
      <c r="N1760" s="70"/>
    </row>
    <row r="1761" spans="11:14">
      <c r="K1761" s="70"/>
      <c r="L1761" s="70"/>
      <c r="M1761" s="70"/>
      <c r="N1761" s="70"/>
    </row>
    <row r="1762" spans="11:14">
      <c r="K1762" s="70"/>
      <c r="L1762" s="70"/>
      <c r="M1762" s="70"/>
      <c r="N1762" s="70"/>
    </row>
    <row r="1763" spans="11:14">
      <c r="K1763" s="70"/>
      <c r="L1763" s="70"/>
      <c r="M1763" s="70"/>
      <c r="N1763" s="70"/>
    </row>
    <row r="1764" spans="11:14">
      <c r="K1764" s="70"/>
      <c r="L1764" s="70"/>
      <c r="M1764" s="70"/>
      <c r="N1764" s="70"/>
    </row>
    <row r="1765" spans="11:14">
      <c r="K1765" s="70"/>
      <c r="L1765" s="70"/>
      <c r="M1765" s="70"/>
      <c r="N1765" s="70"/>
    </row>
    <row r="1766" spans="11:14">
      <c r="K1766" s="70"/>
      <c r="L1766" s="70"/>
      <c r="M1766" s="70"/>
      <c r="N1766" s="70"/>
    </row>
    <row r="1767" spans="11:14">
      <c r="K1767" s="70"/>
      <c r="L1767" s="70"/>
      <c r="M1767" s="70"/>
      <c r="N1767" s="70"/>
    </row>
    <row r="1768" spans="11:14">
      <c r="K1768" s="70"/>
      <c r="L1768" s="70"/>
      <c r="M1768" s="70"/>
      <c r="N1768" s="70"/>
    </row>
    <row r="1769" spans="11:14">
      <c r="K1769" s="70"/>
      <c r="L1769" s="70"/>
      <c r="M1769" s="70"/>
      <c r="N1769" s="70"/>
    </row>
    <row r="1770" spans="11:14">
      <c r="K1770" s="70"/>
      <c r="L1770" s="70"/>
      <c r="M1770" s="70"/>
      <c r="N1770" s="70"/>
    </row>
    <row r="1771" spans="11:14">
      <c r="K1771" s="70"/>
      <c r="L1771" s="70"/>
      <c r="M1771" s="70"/>
      <c r="N1771" s="70"/>
    </row>
    <row r="1772" spans="11:14">
      <c r="K1772" s="70"/>
      <c r="L1772" s="70"/>
      <c r="M1772" s="70"/>
      <c r="N1772" s="70"/>
    </row>
    <row r="1773" spans="11:14">
      <c r="K1773" s="70"/>
      <c r="L1773" s="70"/>
      <c r="M1773" s="70"/>
      <c r="N1773" s="70"/>
    </row>
    <row r="1774" spans="11:14">
      <c r="K1774" s="70"/>
      <c r="L1774" s="70"/>
      <c r="M1774" s="70"/>
      <c r="N1774" s="70"/>
    </row>
    <row r="1775" spans="11:14">
      <c r="K1775" s="70"/>
      <c r="L1775" s="70"/>
      <c r="M1775" s="70"/>
      <c r="N1775" s="70"/>
    </row>
    <row r="1776" spans="11:14">
      <c r="K1776" s="70"/>
      <c r="L1776" s="70"/>
      <c r="M1776" s="70"/>
      <c r="N1776" s="70"/>
    </row>
    <row r="1777" spans="11:14">
      <c r="K1777" s="70"/>
      <c r="L1777" s="70"/>
      <c r="M1777" s="70"/>
      <c r="N1777" s="70"/>
    </row>
    <row r="1778" spans="11:14">
      <c r="K1778" s="70"/>
      <c r="L1778" s="70"/>
      <c r="M1778" s="70"/>
      <c r="N1778" s="70"/>
    </row>
    <row r="1779" spans="11:14">
      <c r="K1779" s="70"/>
      <c r="L1779" s="70"/>
      <c r="M1779" s="70"/>
      <c r="N1779" s="70"/>
    </row>
    <row r="1780" spans="11:14">
      <c r="K1780" s="70"/>
      <c r="L1780" s="70"/>
      <c r="M1780" s="70"/>
      <c r="N1780" s="70"/>
    </row>
    <row r="1781" spans="11:14">
      <c r="K1781" s="70"/>
      <c r="L1781" s="70"/>
      <c r="M1781" s="70"/>
      <c r="N1781" s="70"/>
    </row>
    <row r="1782" spans="11:14">
      <c r="K1782" s="70"/>
      <c r="L1782" s="70"/>
      <c r="M1782" s="70"/>
      <c r="N1782" s="70"/>
    </row>
    <row r="1783" spans="11:14">
      <c r="K1783" s="70"/>
      <c r="L1783" s="70"/>
      <c r="M1783" s="70"/>
      <c r="N1783" s="70"/>
    </row>
    <row r="1784" spans="11:14">
      <c r="K1784" s="70"/>
      <c r="L1784" s="70"/>
      <c r="M1784" s="70"/>
      <c r="N1784" s="70"/>
    </row>
    <row r="1785" spans="11:14">
      <c r="K1785" s="70"/>
      <c r="L1785" s="70"/>
      <c r="M1785" s="70"/>
      <c r="N1785" s="70"/>
    </row>
    <row r="1786" spans="11:14">
      <c r="K1786" s="70"/>
      <c r="L1786" s="70"/>
      <c r="M1786" s="70"/>
      <c r="N1786" s="70"/>
    </row>
    <row r="1787" spans="11:14">
      <c r="K1787" s="70"/>
      <c r="L1787" s="70"/>
      <c r="M1787" s="70"/>
      <c r="N1787" s="70"/>
    </row>
    <row r="1788" spans="11:14">
      <c r="K1788" s="70"/>
      <c r="L1788" s="70"/>
      <c r="M1788" s="70"/>
      <c r="N1788" s="70"/>
    </row>
    <row r="1789" spans="11:14">
      <c r="K1789" s="70"/>
      <c r="L1789" s="70"/>
      <c r="M1789" s="70"/>
      <c r="N1789" s="70"/>
    </row>
    <row r="1790" spans="11:14">
      <c r="K1790" s="70"/>
      <c r="L1790" s="70"/>
      <c r="M1790" s="70"/>
      <c r="N1790" s="70"/>
    </row>
    <row r="1791" spans="11:14">
      <c r="K1791" s="70"/>
      <c r="L1791" s="70"/>
      <c r="M1791" s="70"/>
      <c r="N1791" s="70"/>
    </row>
    <row r="1792" spans="11:14">
      <c r="K1792" s="70"/>
      <c r="L1792" s="70"/>
      <c r="M1792" s="70"/>
      <c r="N1792" s="70"/>
    </row>
    <row r="1793" spans="11:14">
      <c r="K1793" s="70"/>
      <c r="L1793" s="70"/>
      <c r="M1793" s="70"/>
      <c r="N1793" s="70"/>
    </row>
    <row r="1794" spans="11:14">
      <c r="K1794" s="70"/>
      <c r="L1794" s="70"/>
      <c r="M1794" s="70"/>
      <c r="N1794" s="70"/>
    </row>
    <row r="1795" spans="11:14">
      <c r="K1795" s="70"/>
      <c r="L1795" s="70"/>
      <c r="M1795" s="70"/>
      <c r="N1795" s="70"/>
    </row>
    <row r="1796" spans="11:14">
      <c r="K1796" s="70"/>
      <c r="L1796" s="70"/>
      <c r="M1796" s="70"/>
      <c r="N1796" s="70"/>
    </row>
    <row r="1797" spans="11:14">
      <c r="K1797" s="70"/>
      <c r="L1797" s="70"/>
      <c r="M1797" s="70"/>
      <c r="N1797" s="70"/>
    </row>
    <row r="1798" spans="11:14">
      <c r="K1798" s="70"/>
      <c r="L1798" s="70"/>
      <c r="M1798" s="70"/>
      <c r="N1798" s="70"/>
    </row>
    <row r="1799" spans="11:14">
      <c r="K1799" s="70"/>
      <c r="L1799" s="70"/>
      <c r="M1799" s="70"/>
      <c r="N1799" s="70"/>
    </row>
    <row r="1800" spans="11:14">
      <c r="K1800" s="70"/>
      <c r="L1800" s="70"/>
      <c r="M1800" s="70"/>
      <c r="N1800" s="70"/>
    </row>
    <row r="1801" spans="11:14">
      <c r="K1801" s="70"/>
      <c r="L1801" s="70"/>
      <c r="M1801" s="70"/>
      <c r="N1801" s="70"/>
    </row>
    <row r="1802" spans="11:14">
      <c r="K1802" s="70"/>
      <c r="L1802" s="70"/>
      <c r="M1802" s="70"/>
      <c r="N1802" s="70"/>
    </row>
    <row r="1803" spans="11:14">
      <c r="K1803" s="70"/>
      <c r="L1803" s="70"/>
      <c r="M1803" s="70"/>
      <c r="N1803" s="70"/>
    </row>
    <row r="1804" spans="11:14">
      <c r="K1804" s="70"/>
      <c r="L1804" s="70"/>
      <c r="M1804" s="70"/>
      <c r="N1804" s="70"/>
    </row>
    <row r="1805" spans="11:14">
      <c r="K1805" s="70"/>
      <c r="L1805" s="70"/>
      <c r="M1805" s="70"/>
      <c r="N1805" s="70"/>
    </row>
    <row r="1806" spans="11:14">
      <c r="K1806" s="70"/>
      <c r="L1806" s="70"/>
      <c r="M1806" s="70"/>
      <c r="N1806" s="70"/>
    </row>
    <row r="1807" spans="11:14">
      <c r="K1807" s="70"/>
      <c r="L1807" s="70"/>
      <c r="M1807" s="70"/>
      <c r="N1807" s="70"/>
    </row>
    <row r="1808" spans="11:14">
      <c r="K1808" s="70"/>
      <c r="L1808" s="70"/>
      <c r="M1808" s="70"/>
      <c r="N1808" s="70"/>
    </row>
    <row r="1809" spans="11:14">
      <c r="K1809" s="70"/>
      <c r="L1809" s="70"/>
      <c r="M1809" s="70"/>
      <c r="N1809" s="70"/>
    </row>
    <row r="1810" spans="11:14">
      <c r="K1810" s="70"/>
      <c r="L1810" s="70"/>
      <c r="M1810" s="70"/>
      <c r="N1810" s="70"/>
    </row>
    <row r="1811" spans="11:14">
      <c r="K1811" s="70"/>
      <c r="L1811" s="70"/>
      <c r="M1811" s="70"/>
      <c r="N1811" s="70"/>
    </row>
    <row r="1812" spans="11:14">
      <c r="K1812" s="70"/>
      <c r="L1812" s="70"/>
      <c r="M1812" s="70"/>
      <c r="N1812" s="70"/>
    </row>
    <row r="1813" spans="11:14">
      <c r="K1813" s="70"/>
      <c r="L1813" s="70"/>
      <c r="M1813" s="70"/>
      <c r="N1813" s="70"/>
    </row>
    <row r="1814" spans="11:14">
      <c r="K1814" s="70"/>
      <c r="L1814" s="70"/>
      <c r="M1814" s="70"/>
      <c r="N1814" s="70"/>
    </row>
    <row r="1815" spans="11:14">
      <c r="K1815" s="70"/>
      <c r="L1815" s="70"/>
      <c r="M1815" s="70"/>
      <c r="N1815" s="70"/>
    </row>
    <row r="1816" spans="11:14">
      <c r="K1816" s="70"/>
      <c r="L1816" s="70"/>
      <c r="M1816" s="70"/>
      <c r="N1816" s="70"/>
    </row>
    <row r="1817" spans="11:14">
      <c r="K1817" s="70"/>
      <c r="L1817" s="70"/>
      <c r="M1817" s="70"/>
      <c r="N1817" s="70"/>
    </row>
    <row r="1818" spans="11:14">
      <c r="K1818" s="70"/>
      <c r="L1818" s="70"/>
      <c r="M1818" s="70"/>
      <c r="N1818" s="70"/>
    </row>
    <row r="1819" spans="11:14">
      <c r="K1819" s="70"/>
      <c r="L1819" s="70"/>
      <c r="M1819" s="70"/>
      <c r="N1819" s="70"/>
    </row>
    <row r="1820" spans="11:14">
      <c r="K1820" s="70"/>
      <c r="L1820" s="70"/>
      <c r="M1820" s="70"/>
      <c r="N1820" s="70"/>
    </row>
    <row r="1821" spans="11:14">
      <c r="K1821" s="70"/>
      <c r="L1821" s="70"/>
      <c r="M1821" s="70"/>
      <c r="N1821" s="70"/>
    </row>
    <row r="1822" spans="11:14">
      <c r="K1822" s="70"/>
      <c r="L1822" s="70"/>
      <c r="M1822" s="70"/>
      <c r="N1822" s="70"/>
    </row>
    <row r="1823" spans="11:14">
      <c r="K1823" s="70"/>
      <c r="L1823" s="70"/>
      <c r="M1823" s="70"/>
      <c r="N1823" s="70"/>
    </row>
    <row r="1824" spans="11:14">
      <c r="K1824" s="70"/>
      <c r="L1824" s="70"/>
      <c r="M1824" s="70"/>
      <c r="N1824" s="70"/>
    </row>
    <row r="1825" spans="11:14">
      <c r="K1825" s="70"/>
      <c r="L1825" s="70"/>
      <c r="M1825" s="70"/>
      <c r="N1825" s="70"/>
    </row>
    <row r="1826" spans="11:14">
      <c r="K1826" s="70"/>
      <c r="L1826" s="70"/>
      <c r="M1826" s="70"/>
      <c r="N1826" s="70"/>
    </row>
    <row r="1827" spans="11:14">
      <c r="K1827" s="70"/>
      <c r="L1827" s="70"/>
      <c r="M1827" s="70"/>
      <c r="N1827" s="70"/>
    </row>
    <row r="1828" spans="11:14">
      <c r="K1828" s="70"/>
      <c r="L1828" s="70"/>
      <c r="M1828" s="70"/>
      <c r="N1828" s="70"/>
    </row>
    <row r="1829" spans="11:14">
      <c r="K1829" s="70"/>
      <c r="L1829" s="70"/>
      <c r="M1829" s="70"/>
      <c r="N1829" s="70"/>
    </row>
    <row r="1830" spans="11:14">
      <c r="K1830" s="70"/>
      <c r="L1830" s="70"/>
      <c r="M1830" s="70"/>
      <c r="N1830" s="70"/>
    </row>
    <row r="1831" spans="11:14">
      <c r="K1831" s="70"/>
      <c r="L1831" s="70"/>
      <c r="M1831" s="70"/>
      <c r="N1831" s="70"/>
    </row>
    <row r="1832" spans="11:14">
      <c r="K1832" s="70"/>
      <c r="L1832" s="70"/>
      <c r="M1832" s="70"/>
      <c r="N1832" s="70"/>
    </row>
    <row r="1833" spans="11:14">
      <c r="K1833" s="70"/>
      <c r="L1833" s="70"/>
      <c r="M1833" s="70"/>
      <c r="N1833" s="70"/>
    </row>
    <row r="1834" spans="11:14">
      <c r="K1834" s="70"/>
      <c r="L1834" s="70"/>
      <c r="M1834" s="70"/>
      <c r="N1834" s="70"/>
    </row>
    <row r="1835" spans="11:14">
      <c r="K1835" s="70"/>
      <c r="L1835" s="70"/>
      <c r="M1835" s="70"/>
      <c r="N1835" s="70"/>
    </row>
    <row r="1836" spans="11:14">
      <c r="K1836" s="70"/>
      <c r="L1836" s="70"/>
      <c r="M1836" s="70"/>
      <c r="N1836" s="70"/>
    </row>
    <row r="1837" spans="11:14">
      <c r="K1837" s="70"/>
      <c r="L1837" s="70"/>
      <c r="M1837" s="70"/>
      <c r="N1837" s="70"/>
    </row>
    <row r="1838" spans="11:14">
      <c r="K1838" s="70"/>
      <c r="L1838" s="70"/>
      <c r="M1838" s="70"/>
      <c r="N1838" s="70"/>
    </row>
    <row r="1839" spans="11:14">
      <c r="K1839" s="70"/>
      <c r="L1839" s="70"/>
      <c r="M1839" s="70"/>
      <c r="N1839" s="70"/>
    </row>
    <row r="1840" spans="11:14">
      <c r="K1840" s="70"/>
      <c r="L1840" s="70"/>
      <c r="M1840" s="70"/>
      <c r="N1840" s="70"/>
    </row>
    <row r="1841" spans="11:14">
      <c r="K1841" s="70"/>
      <c r="L1841" s="70"/>
      <c r="M1841" s="70"/>
      <c r="N1841" s="70"/>
    </row>
    <row r="1842" spans="11:14">
      <c r="K1842" s="70"/>
      <c r="L1842" s="70"/>
      <c r="M1842" s="70"/>
      <c r="N1842" s="70"/>
    </row>
    <row r="1843" spans="11:14">
      <c r="K1843" s="70"/>
      <c r="L1843" s="70"/>
      <c r="M1843" s="70"/>
      <c r="N1843" s="70"/>
    </row>
    <row r="1844" spans="11:14">
      <c r="K1844" s="70"/>
      <c r="L1844" s="70"/>
      <c r="M1844" s="70"/>
      <c r="N1844" s="70"/>
    </row>
    <row r="1845" spans="11:14">
      <c r="K1845" s="70"/>
      <c r="L1845" s="70"/>
      <c r="M1845" s="70"/>
      <c r="N1845" s="70"/>
    </row>
    <row r="1846" spans="11:14">
      <c r="K1846" s="70"/>
      <c r="L1846" s="70"/>
      <c r="M1846" s="70"/>
      <c r="N1846" s="70"/>
    </row>
    <row r="1847" spans="11:14">
      <c r="K1847" s="70"/>
      <c r="L1847" s="70"/>
      <c r="M1847" s="70"/>
      <c r="N1847" s="70"/>
    </row>
    <row r="1848" spans="11:14">
      <c r="K1848" s="70"/>
      <c r="L1848" s="70"/>
      <c r="M1848" s="70"/>
      <c r="N1848" s="70"/>
    </row>
    <row r="1849" spans="11:14">
      <c r="K1849" s="70"/>
      <c r="L1849" s="70"/>
      <c r="M1849" s="70"/>
      <c r="N1849" s="70"/>
    </row>
    <row r="1850" spans="11:14">
      <c r="K1850" s="70"/>
      <c r="L1850" s="70"/>
      <c r="M1850" s="70"/>
      <c r="N1850" s="70"/>
    </row>
    <row r="1851" spans="11:14">
      <c r="K1851" s="70"/>
      <c r="L1851" s="70"/>
      <c r="M1851" s="70"/>
      <c r="N1851" s="70"/>
    </row>
    <row r="1852" spans="11:14">
      <c r="K1852" s="70"/>
      <c r="L1852" s="70"/>
      <c r="M1852" s="70"/>
      <c r="N1852" s="70"/>
    </row>
    <row r="1853" spans="11:14">
      <c r="K1853" s="70"/>
      <c r="L1853" s="70"/>
      <c r="M1853" s="70"/>
      <c r="N1853" s="70"/>
    </row>
    <row r="1854" spans="11:14">
      <c r="K1854" s="70"/>
      <c r="L1854" s="70"/>
      <c r="M1854" s="70"/>
      <c r="N1854" s="70"/>
    </row>
    <row r="1855" spans="11:14">
      <c r="K1855" s="70"/>
      <c r="L1855" s="70"/>
      <c r="M1855" s="70"/>
      <c r="N1855" s="70"/>
    </row>
    <row r="1856" spans="11:14">
      <c r="K1856" s="70"/>
      <c r="L1856" s="70"/>
      <c r="M1856" s="70"/>
      <c r="N1856" s="70"/>
    </row>
    <row r="1857" spans="11:14">
      <c r="K1857" s="70"/>
      <c r="L1857" s="70"/>
      <c r="M1857" s="70"/>
      <c r="N1857" s="70"/>
    </row>
    <row r="1858" spans="11:14">
      <c r="K1858" s="70"/>
      <c r="L1858" s="70"/>
      <c r="M1858" s="70"/>
      <c r="N1858" s="70"/>
    </row>
    <row r="1859" spans="11:14">
      <c r="K1859" s="70"/>
      <c r="L1859" s="70"/>
      <c r="M1859" s="70"/>
      <c r="N1859" s="70"/>
    </row>
    <row r="1860" spans="11:14">
      <c r="K1860" s="70"/>
      <c r="L1860" s="70"/>
      <c r="M1860" s="70"/>
      <c r="N1860" s="70"/>
    </row>
    <row r="1861" spans="11:14">
      <c r="K1861" s="70"/>
      <c r="L1861" s="70"/>
      <c r="M1861" s="70"/>
      <c r="N1861" s="70"/>
    </row>
    <row r="1862" spans="11:14">
      <c r="K1862" s="70"/>
      <c r="L1862" s="70"/>
      <c r="M1862" s="70"/>
      <c r="N1862" s="70"/>
    </row>
    <row r="1863" spans="11:14">
      <c r="K1863" s="70"/>
      <c r="L1863" s="70"/>
      <c r="M1863" s="70"/>
      <c r="N1863" s="70"/>
    </row>
    <row r="1864" spans="11:14">
      <c r="K1864" s="70"/>
      <c r="L1864" s="70"/>
      <c r="M1864" s="70"/>
      <c r="N1864" s="70"/>
    </row>
    <row r="1865" spans="11:14">
      <c r="K1865" s="70"/>
      <c r="L1865" s="70"/>
      <c r="M1865" s="70"/>
      <c r="N1865" s="70"/>
    </row>
    <row r="1866" spans="11:14">
      <c r="K1866" s="70"/>
      <c r="L1866" s="70"/>
      <c r="M1866" s="70"/>
      <c r="N1866" s="70"/>
    </row>
    <row r="1867" spans="11:14">
      <c r="K1867" s="70"/>
      <c r="L1867" s="70"/>
      <c r="M1867" s="70"/>
      <c r="N1867" s="70"/>
    </row>
    <row r="1868" spans="11:14">
      <c r="K1868" s="70"/>
      <c r="L1868" s="70"/>
      <c r="M1868" s="70"/>
      <c r="N1868" s="70"/>
    </row>
    <row r="1869" spans="11:14">
      <c r="K1869" s="70"/>
      <c r="L1869" s="70"/>
      <c r="M1869" s="70"/>
      <c r="N1869" s="70"/>
    </row>
    <row r="1870" spans="11:14">
      <c r="K1870" s="70"/>
      <c r="L1870" s="70"/>
      <c r="M1870" s="70"/>
      <c r="N1870" s="70"/>
    </row>
    <row r="1871" spans="11:14">
      <c r="K1871" s="70"/>
      <c r="L1871" s="70"/>
      <c r="M1871" s="70"/>
      <c r="N1871" s="70"/>
    </row>
    <row r="1872" spans="11:14">
      <c r="K1872" s="70"/>
      <c r="L1872" s="70"/>
      <c r="M1872" s="70"/>
      <c r="N1872" s="70"/>
    </row>
    <row r="1873" spans="11:14">
      <c r="K1873" s="70"/>
      <c r="L1873" s="70"/>
      <c r="M1873" s="70"/>
      <c r="N1873" s="70"/>
    </row>
    <row r="1874" spans="11:14">
      <c r="K1874" s="70"/>
      <c r="L1874" s="70"/>
      <c r="M1874" s="70"/>
      <c r="N1874" s="70"/>
    </row>
    <row r="1875" spans="11:14">
      <c r="K1875" s="70"/>
      <c r="L1875" s="70"/>
      <c r="M1875" s="70"/>
      <c r="N1875" s="70"/>
    </row>
    <row r="1876" spans="11:14">
      <c r="K1876" s="70"/>
      <c r="L1876" s="70"/>
      <c r="M1876" s="70"/>
      <c r="N1876" s="70"/>
    </row>
    <row r="1877" spans="11:14">
      <c r="K1877" s="70"/>
      <c r="L1877" s="70"/>
      <c r="M1877" s="70"/>
      <c r="N1877" s="70"/>
    </row>
    <row r="1878" spans="11:14">
      <c r="K1878" s="70"/>
      <c r="L1878" s="70"/>
      <c r="M1878" s="70"/>
      <c r="N1878" s="70"/>
    </row>
    <row r="1879" spans="11:14">
      <c r="K1879" s="70"/>
      <c r="L1879" s="70"/>
      <c r="M1879" s="70"/>
      <c r="N1879" s="70"/>
    </row>
    <row r="1880" spans="11:14">
      <c r="K1880" s="70"/>
      <c r="L1880" s="70"/>
      <c r="M1880" s="70"/>
      <c r="N1880" s="70"/>
    </row>
    <row r="1881" spans="11:14">
      <c r="K1881" s="70"/>
      <c r="L1881" s="70"/>
      <c r="M1881" s="70"/>
      <c r="N1881" s="70"/>
    </row>
    <row r="1882" spans="11:14">
      <c r="K1882" s="70"/>
      <c r="L1882" s="70"/>
      <c r="M1882" s="70"/>
      <c r="N1882" s="70"/>
    </row>
    <row r="1883" spans="11:14">
      <c r="K1883" s="70"/>
      <c r="L1883" s="70"/>
      <c r="M1883" s="70"/>
      <c r="N1883" s="70"/>
    </row>
    <row r="1884" spans="11:14">
      <c r="K1884" s="70"/>
      <c r="L1884" s="70"/>
      <c r="M1884" s="70"/>
      <c r="N1884" s="70"/>
    </row>
    <row r="1885" spans="11:14">
      <c r="K1885" s="70"/>
      <c r="L1885" s="70"/>
      <c r="M1885" s="70"/>
      <c r="N1885" s="70"/>
    </row>
    <row r="1886" spans="11:14">
      <c r="K1886" s="70"/>
      <c r="L1886" s="70"/>
      <c r="M1886" s="70"/>
      <c r="N1886" s="70"/>
    </row>
    <row r="1887" spans="11:14">
      <c r="K1887" s="70"/>
      <c r="L1887" s="70"/>
      <c r="M1887" s="70"/>
      <c r="N1887" s="70"/>
    </row>
    <row r="1888" spans="11:14">
      <c r="K1888" s="70"/>
      <c r="L1888" s="70"/>
      <c r="M1888" s="70"/>
      <c r="N1888" s="70"/>
    </row>
    <row r="1889" spans="11:14">
      <c r="K1889" s="70"/>
      <c r="L1889" s="70"/>
      <c r="M1889" s="70"/>
      <c r="N1889" s="70"/>
    </row>
    <row r="1890" spans="11:14">
      <c r="K1890" s="70"/>
      <c r="L1890" s="70"/>
      <c r="M1890" s="70"/>
      <c r="N1890" s="70"/>
    </row>
    <row r="1891" spans="11:14">
      <c r="K1891" s="70"/>
      <c r="L1891" s="70"/>
      <c r="M1891" s="70"/>
      <c r="N1891" s="70"/>
    </row>
    <row r="1892" spans="11:14">
      <c r="K1892" s="70"/>
      <c r="L1892" s="70"/>
      <c r="M1892" s="70"/>
      <c r="N1892" s="70"/>
    </row>
    <row r="1893" spans="11:14">
      <c r="K1893" s="70"/>
      <c r="L1893" s="70"/>
      <c r="M1893" s="70"/>
      <c r="N1893" s="70"/>
    </row>
    <row r="1894" spans="11:14">
      <c r="K1894" s="70"/>
      <c r="L1894" s="70"/>
      <c r="M1894" s="70"/>
      <c r="N1894" s="70"/>
    </row>
    <row r="1895" spans="11:14">
      <c r="K1895" s="70"/>
      <c r="L1895" s="70"/>
      <c r="M1895" s="70"/>
      <c r="N1895" s="70"/>
    </row>
    <row r="1896" spans="11:14">
      <c r="K1896" s="70"/>
      <c r="L1896" s="70"/>
      <c r="M1896" s="70"/>
      <c r="N1896" s="70"/>
    </row>
    <row r="1897" spans="11:14">
      <c r="K1897" s="70"/>
      <c r="L1897" s="70"/>
      <c r="M1897" s="70"/>
      <c r="N1897" s="70"/>
    </row>
    <row r="1898" spans="11:14">
      <c r="K1898" s="70"/>
      <c r="L1898" s="70"/>
      <c r="M1898" s="70"/>
      <c r="N1898" s="70"/>
    </row>
    <row r="1899" spans="11:14">
      <c r="K1899" s="70"/>
      <c r="L1899" s="70"/>
      <c r="M1899" s="70"/>
      <c r="N1899" s="70"/>
    </row>
    <row r="1900" spans="11:14">
      <c r="K1900" s="70"/>
      <c r="L1900" s="70"/>
      <c r="M1900" s="70"/>
      <c r="N1900" s="70"/>
    </row>
    <row r="1901" spans="11:14">
      <c r="K1901" s="70"/>
      <c r="L1901" s="70"/>
      <c r="M1901" s="70"/>
      <c r="N1901" s="70"/>
    </row>
    <row r="1902" spans="11:14">
      <c r="K1902" s="70"/>
      <c r="L1902" s="70"/>
      <c r="M1902" s="70"/>
      <c r="N1902" s="70"/>
    </row>
    <row r="1903" spans="11:14">
      <c r="K1903" s="70"/>
      <c r="L1903" s="70"/>
      <c r="M1903" s="70"/>
      <c r="N1903" s="70"/>
    </row>
    <row r="1904" spans="11:14">
      <c r="K1904" s="70"/>
      <c r="L1904" s="70"/>
      <c r="M1904" s="70"/>
      <c r="N1904" s="70"/>
    </row>
    <row r="1905" spans="11:14">
      <c r="K1905" s="70"/>
      <c r="L1905" s="70"/>
      <c r="M1905" s="70"/>
      <c r="N1905" s="70"/>
    </row>
    <row r="1906" spans="11:14">
      <c r="K1906" s="70"/>
      <c r="L1906" s="70"/>
      <c r="M1906" s="70"/>
      <c r="N1906" s="70"/>
    </row>
    <row r="1907" spans="11:14">
      <c r="K1907" s="70"/>
      <c r="L1907" s="70"/>
      <c r="M1907" s="70"/>
      <c r="N1907" s="70"/>
    </row>
    <row r="1908" spans="11:14">
      <c r="K1908" s="70"/>
      <c r="L1908" s="70"/>
      <c r="M1908" s="70"/>
      <c r="N1908" s="70"/>
    </row>
    <row r="1909" spans="11:14">
      <c r="K1909" s="70"/>
      <c r="L1909" s="70"/>
      <c r="M1909" s="70"/>
      <c r="N1909" s="70"/>
    </row>
    <row r="1910" spans="11:14">
      <c r="K1910" s="70"/>
      <c r="L1910" s="70"/>
      <c r="M1910" s="70"/>
      <c r="N1910" s="70"/>
    </row>
    <row r="1911" spans="11:14">
      <c r="K1911" s="70"/>
      <c r="L1911" s="70"/>
      <c r="M1911" s="70"/>
      <c r="N1911" s="70"/>
    </row>
    <row r="1912" spans="11:14">
      <c r="K1912" s="70"/>
      <c r="L1912" s="70"/>
      <c r="M1912" s="70"/>
      <c r="N1912" s="70"/>
    </row>
    <row r="1913" spans="11:14">
      <c r="K1913" s="70"/>
      <c r="L1913" s="70"/>
      <c r="M1913" s="70"/>
      <c r="N1913" s="70"/>
    </row>
    <row r="1914" spans="11:14">
      <c r="K1914" s="70"/>
      <c r="L1914" s="70"/>
      <c r="M1914" s="70"/>
      <c r="N1914" s="70"/>
    </row>
    <row r="1915" spans="11:14">
      <c r="K1915" s="70"/>
      <c r="L1915" s="70"/>
      <c r="M1915" s="70"/>
      <c r="N1915" s="70"/>
    </row>
    <row r="1916" spans="11:14">
      <c r="K1916" s="70"/>
      <c r="L1916" s="70"/>
      <c r="M1916" s="70"/>
      <c r="N1916" s="70"/>
    </row>
    <row r="1917" spans="11:14">
      <c r="K1917" s="70"/>
      <c r="L1917" s="70"/>
      <c r="M1917" s="70"/>
      <c r="N1917" s="70"/>
    </row>
    <row r="1918" spans="11:14">
      <c r="K1918" s="70"/>
      <c r="L1918" s="70"/>
      <c r="M1918" s="70"/>
      <c r="N1918" s="70"/>
    </row>
    <row r="1919" spans="11:14">
      <c r="K1919" s="70"/>
      <c r="L1919" s="70"/>
      <c r="M1919" s="70"/>
      <c r="N1919" s="70"/>
    </row>
    <row r="1920" spans="11:14">
      <c r="K1920" s="70"/>
      <c r="L1920" s="70"/>
      <c r="M1920" s="70"/>
      <c r="N1920" s="70"/>
    </row>
    <row r="1921" spans="11:14">
      <c r="K1921" s="70"/>
      <c r="L1921" s="70"/>
      <c r="M1921" s="70"/>
      <c r="N1921" s="70"/>
    </row>
    <row r="1922" spans="11:14">
      <c r="K1922" s="70"/>
      <c r="L1922" s="70"/>
      <c r="M1922" s="70"/>
      <c r="N1922" s="70"/>
    </row>
    <row r="1923" spans="11:14">
      <c r="K1923" s="70"/>
      <c r="L1923" s="70"/>
      <c r="M1923" s="70"/>
      <c r="N1923" s="70"/>
    </row>
    <row r="1924" spans="11:14">
      <c r="K1924" s="70"/>
      <c r="L1924" s="70"/>
      <c r="M1924" s="70"/>
      <c r="N1924" s="70"/>
    </row>
    <row r="1925" spans="11:14">
      <c r="K1925" s="70"/>
      <c r="L1925" s="70"/>
      <c r="M1925" s="70"/>
      <c r="N1925" s="70"/>
    </row>
    <row r="1926" spans="11:14">
      <c r="K1926" s="70"/>
      <c r="L1926" s="70"/>
      <c r="M1926" s="70"/>
      <c r="N1926" s="70"/>
    </row>
    <row r="1927" spans="11:14">
      <c r="K1927" s="70"/>
      <c r="L1927" s="70"/>
      <c r="M1927" s="70"/>
      <c r="N1927" s="70"/>
    </row>
    <row r="1928" spans="11:14">
      <c r="K1928" s="70"/>
      <c r="L1928" s="70"/>
      <c r="M1928" s="70"/>
      <c r="N1928" s="70"/>
    </row>
    <row r="1929" spans="11:14">
      <c r="K1929" s="70"/>
      <c r="L1929" s="70"/>
      <c r="M1929" s="70"/>
      <c r="N1929" s="70"/>
    </row>
    <row r="1930" spans="11:14">
      <c r="K1930" s="70"/>
      <c r="L1930" s="70"/>
      <c r="M1930" s="70"/>
      <c r="N1930" s="70"/>
    </row>
    <row r="1931" spans="11:14">
      <c r="K1931" s="70"/>
      <c r="L1931" s="70"/>
      <c r="M1931" s="70"/>
      <c r="N1931" s="70"/>
    </row>
    <row r="1932" spans="11:14">
      <c r="K1932" s="70"/>
      <c r="L1932" s="70"/>
      <c r="M1932" s="70"/>
      <c r="N1932" s="70"/>
    </row>
    <row r="1933" spans="11:14">
      <c r="K1933" s="70"/>
      <c r="L1933" s="70"/>
      <c r="M1933" s="70"/>
      <c r="N1933" s="70"/>
    </row>
    <row r="1934" spans="11:14">
      <c r="K1934" s="70"/>
      <c r="L1934" s="70"/>
      <c r="M1934" s="70"/>
      <c r="N1934" s="70"/>
    </row>
    <row r="1935" spans="11:14">
      <c r="K1935" s="70"/>
      <c r="L1935" s="70"/>
      <c r="M1935" s="70"/>
      <c r="N1935" s="70"/>
    </row>
    <row r="1936" spans="11:14">
      <c r="K1936" s="70"/>
      <c r="L1936" s="70"/>
      <c r="M1936" s="70"/>
      <c r="N1936" s="70"/>
    </row>
    <row r="1937" spans="11:14">
      <c r="K1937" s="70"/>
      <c r="L1937" s="70"/>
      <c r="M1937" s="70"/>
      <c r="N1937" s="70"/>
    </row>
    <row r="1938" spans="11:14">
      <c r="K1938" s="70"/>
      <c r="L1938" s="70"/>
      <c r="M1938" s="70"/>
      <c r="N1938" s="70"/>
    </row>
    <row r="1939" spans="11:14">
      <c r="K1939" s="70"/>
      <c r="L1939" s="70"/>
      <c r="M1939" s="70"/>
      <c r="N1939" s="70"/>
    </row>
    <row r="1940" spans="11:14">
      <c r="K1940" s="70"/>
      <c r="L1940" s="70"/>
      <c r="M1940" s="70"/>
      <c r="N1940" s="70"/>
    </row>
    <row r="1941" spans="11:14">
      <c r="K1941" s="70"/>
      <c r="L1941" s="70"/>
      <c r="M1941" s="70"/>
      <c r="N1941" s="70"/>
    </row>
    <row r="1942" spans="11:14">
      <c r="K1942" s="70"/>
      <c r="L1942" s="70"/>
      <c r="M1942" s="70"/>
      <c r="N1942" s="70"/>
    </row>
    <row r="1943" spans="11:14">
      <c r="K1943" s="70"/>
      <c r="L1943" s="70"/>
      <c r="M1943" s="70"/>
      <c r="N1943" s="70"/>
    </row>
    <row r="1944" spans="11:14">
      <c r="K1944" s="70"/>
      <c r="L1944" s="70"/>
      <c r="M1944" s="70"/>
      <c r="N1944" s="70"/>
    </row>
    <row r="1945" spans="11:14">
      <c r="K1945" s="70"/>
      <c r="L1945" s="70"/>
      <c r="M1945" s="70"/>
      <c r="N1945" s="70"/>
    </row>
    <row r="1946" spans="11:14">
      <c r="K1946" s="70"/>
      <c r="L1946" s="70"/>
      <c r="M1946" s="70"/>
      <c r="N1946" s="70"/>
    </row>
    <row r="1947" spans="11:14">
      <c r="K1947" s="70"/>
      <c r="L1947" s="70"/>
      <c r="M1947" s="70"/>
      <c r="N1947" s="70"/>
    </row>
    <row r="1948" spans="11:14">
      <c r="K1948" s="70"/>
      <c r="L1948" s="70"/>
      <c r="M1948" s="70"/>
      <c r="N1948" s="70"/>
    </row>
    <row r="1949" spans="11:14">
      <c r="K1949" s="70"/>
      <c r="L1949" s="70"/>
      <c r="M1949" s="70"/>
      <c r="N1949" s="70"/>
    </row>
    <row r="1950" spans="11:14">
      <c r="K1950" s="70"/>
      <c r="L1950" s="70"/>
      <c r="M1950" s="70"/>
      <c r="N1950" s="70"/>
    </row>
    <row r="1951" spans="11:14">
      <c r="K1951" s="70"/>
      <c r="L1951" s="70"/>
      <c r="M1951" s="70"/>
      <c r="N1951" s="70"/>
    </row>
    <row r="1952" spans="11:14">
      <c r="K1952" s="70"/>
      <c r="L1952" s="70"/>
      <c r="M1952" s="70"/>
      <c r="N1952" s="70"/>
    </row>
    <row r="1953" spans="11:14">
      <c r="K1953" s="70"/>
      <c r="L1953" s="70"/>
      <c r="M1953" s="70"/>
      <c r="N1953" s="70"/>
    </row>
    <row r="1954" spans="11:14">
      <c r="K1954" s="70"/>
      <c r="L1954" s="70"/>
      <c r="M1954" s="70"/>
      <c r="N1954" s="70"/>
    </row>
    <row r="1955" spans="11:14">
      <c r="K1955" s="70"/>
      <c r="L1955" s="70"/>
      <c r="M1955" s="70"/>
      <c r="N1955" s="70"/>
    </row>
    <row r="1956" spans="11:14">
      <c r="K1956" s="70"/>
      <c r="L1956" s="70"/>
      <c r="M1956" s="70"/>
      <c r="N1956" s="70"/>
    </row>
    <row r="1957" spans="11:14">
      <c r="K1957" s="70"/>
      <c r="L1957" s="70"/>
      <c r="M1957" s="70"/>
      <c r="N1957" s="70"/>
    </row>
    <row r="1958" spans="11:14">
      <c r="K1958" s="70"/>
      <c r="L1958" s="70"/>
      <c r="M1958" s="70"/>
      <c r="N1958" s="70"/>
    </row>
    <row r="1959" spans="11:14">
      <c r="K1959" s="70"/>
      <c r="L1959" s="70"/>
      <c r="M1959" s="70"/>
      <c r="N1959" s="70"/>
    </row>
    <row r="1960" spans="11:14">
      <c r="K1960" s="70"/>
      <c r="L1960" s="70"/>
      <c r="M1960" s="70"/>
      <c r="N1960" s="70"/>
    </row>
    <row r="1961" spans="11:14">
      <c r="K1961" s="70"/>
      <c r="L1961" s="70"/>
      <c r="M1961" s="70"/>
      <c r="N1961" s="70"/>
    </row>
    <row r="1962" spans="11:14">
      <c r="K1962" s="70"/>
      <c r="L1962" s="70"/>
      <c r="M1962" s="70"/>
      <c r="N1962" s="70"/>
    </row>
    <row r="1963" spans="11:14">
      <c r="K1963" s="70"/>
      <c r="L1963" s="70"/>
      <c r="M1963" s="70"/>
      <c r="N1963" s="70"/>
    </row>
    <row r="1964" spans="11:14">
      <c r="K1964" s="70"/>
      <c r="L1964" s="70"/>
      <c r="M1964" s="70"/>
      <c r="N1964" s="70"/>
    </row>
    <row r="1965" spans="11:14">
      <c r="K1965" s="70"/>
      <c r="L1965" s="70"/>
      <c r="M1965" s="70"/>
      <c r="N1965" s="70"/>
    </row>
    <row r="1966" spans="11:14">
      <c r="K1966" s="70"/>
      <c r="L1966" s="70"/>
      <c r="M1966" s="70"/>
      <c r="N1966" s="70"/>
    </row>
    <row r="1967" spans="11:14">
      <c r="K1967" s="70"/>
      <c r="L1967" s="70"/>
      <c r="M1967" s="70"/>
      <c r="N1967" s="70"/>
    </row>
    <row r="1968" spans="11:14">
      <c r="K1968" s="70"/>
      <c r="L1968" s="70"/>
      <c r="M1968" s="70"/>
      <c r="N1968" s="70"/>
    </row>
    <row r="1969" spans="11:14">
      <c r="K1969" s="70"/>
      <c r="L1969" s="70"/>
      <c r="M1969" s="70"/>
      <c r="N1969" s="70"/>
    </row>
    <row r="1970" spans="11:14">
      <c r="K1970" s="70"/>
      <c r="L1970" s="70"/>
      <c r="M1970" s="70"/>
      <c r="N1970" s="70"/>
    </row>
    <row r="1971" spans="11:14">
      <c r="K1971" s="70"/>
      <c r="L1971" s="70"/>
      <c r="M1971" s="70"/>
      <c r="N1971" s="70"/>
    </row>
    <row r="1972" spans="11:14">
      <c r="K1972" s="70"/>
      <c r="L1972" s="70"/>
      <c r="M1972" s="70"/>
      <c r="N1972" s="70"/>
    </row>
    <row r="1973" spans="11:14">
      <c r="K1973" s="70"/>
      <c r="L1973" s="70"/>
      <c r="M1973" s="70"/>
      <c r="N1973" s="70"/>
    </row>
    <row r="1974" spans="11:14">
      <c r="K1974" s="70"/>
      <c r="L1974" s="70"/>
      <c r="M1974" s="70"/>
      <c r="N1974" s="70"/>
    </row>
    <row r="1975" spans="11:14">
      <c r="K1975" s="70"/>
      <c r="L1975" s="70"/>
      <c r="M1975" s="70"/>
      <c r="N1975" s="70"/>
    </row>
    <row r="1976" spans="11:14">
      <c r="K1976" s="70"/>
      <c r="L1976" s="70"/>
      <c r="M1976" s="70"/>
      <c r="N1976" s="70"/>
    </row>
    <row r="1977" spans="11:14">
      <c r="K1977" s="70"/>
      <c r="L1977" s="70"/>
      <c r="M1977" s="70"/>
      <c r="N1977" s="70"/>
    </row>
    <row r="1978" spans="11:14">
      <c r="K1978" s="70"/>
      <c r="L1978" s="70"/>
      <c r="M1978" s="70"/>
      <c r="N1978" s="70"/>
    </row>
    <row r="1979" spans="11:14">
      <c r="K1979" s="70"/>
      <c r="L1979" s="70"/>
      <c r="M1979" s="70"/>
      <c r="N1979" s="70"/>
    </row>
    <row r="1980" spans="11:14">
      <c r="K1980" s="70"/>
      <c r="L1980" s="70"/>
      <c r="M1980" s="70"/>
      <c r="N1980" s="70"/>
    </row>
    <row r="1981" spans="11:14">
      <c r="K1981" s="70"/>
      <c r="L1981" s="70"/>
      <c r="M1981" s="70"/>
      <c r="N1981" s="70"/>
    </row>
    <row r="1982" spans="11:14">
      <c r="K1982" s="70"/>
      <c r="L1982" s="70"/>
      <c r="M1982" s="70"/>
      <c r="N1982" s="70"/>
    </row>
    <row r="1983" spans="11:14">
      <c r="K1983" s="70"/>
      <c r="L1983" s="70"/>
      <c r="M1983" s="70"/>
      <c r="N1983" s="70"/>
    </row>
    <row r="1984" spans="11:14">
      <c r="K1984" s="70"/>
      <c r="L1984" s="70"/>
      <c r="M1984" s="70"/>
      <c r="N1984" s="70"/>
    </row>
    <row r="1985" spans="11:14">
      <c r="K1985" s="70"/>
      <c r="L1985" s="70"/>
      <c r="M1985" s="70"/>
      <c r="N1985" s="70"/>
    </row>
    <row r="1986" spans="11:14">
      <c r="K1986" s="70"/>
      <c r="L1986" s="70"/>
      <c r="M1986" s="70"/>
      <c r="N1986" s="70"/>
    </row>
    <row r="1987" spans="11:14">
      <c r="K1987" s="70"/>
      <c r="L1987" s="70"/>
      <c r="M1987" s="70"/>
      <c r="N1987" s="70"/>
    </row>
    <row r="1988" spans="11:14">
      <c r="K1988" s="70"/>
      <c r="L1988" s="70"/>
      <c r="M1988" s="70"/>
      <c r="N1988" s="70"/>
    </row>
    <row r="1989" spans="11:14">
      <c r="K1989" s="70"/>
      <c r="L1989" s="70"/>
      <c r="M1989" s="70"/>
      <c r="N1989" s="70"/>
    </row>
    <row r="1990" spans="11:14">
      <c r="K1990" s="70"/>
      <c r="L1990" s="70"/>
      <c r="M1990" s="70"/>
      <c r="N1990" s="70"/>
    </row>
    <row r="1991" spans="11:14">
      <c r="K1991" s="70"/>
      <c r="L1991" s="70"/>
      <c r="M1991" s="70"/>
      <c r="N1991" s="70"/>
    </row>
    <row r="1992" spans="11:14">
      <c r="K1992" s="70"/>
      <c r="L1992" s="70"/>
      <c r="M1992" s="70"/>
      <c r="N1992" s="70"/>
    </row>
    <row r="1993" spans="11:14">
      <c r="K1993" s="70"/>
      <c r="L1993" s="70"/>
      <c r="M1993" s="70"/>
      <c r="N1993" s="70"/>
    </row>
    <row r="1994" spans="11:14">
      <c r="K1994" s="70"/>
      <c r="L1994" s="70"/>
      <c r="M1994" s="70"/>
      <c r="N1994" s="70"/>
    </row>
    <row r="1995" spans="11:14">
      <c r="K1995" s="70"/>
      <c r="L1995" s="70"/>
      <c r="M1995" s="70"/>
      <c r="N1995" s="70"/>
    </row>
    <row r="1996" spans="11:14">
      <c r="K1996" s="70"/>
      <c r="L1996" s="70"/>
      <c r="M1996" s="70"/>
      <c r="N1996" s="70"/>
    </row>
    <row r="1997" spans="11:14">
      <c r="K1997" s="70"/>
      <c r="L1997" s="70"/>
      <c r="M1997" s="70"/>
      <c r="N1997" s="70"/>
    </row>
    <row r="1998" spans="11:14">
      <c r="K1998" s="70"/>
      <c r="L1998" s="70"/>
      <c r="M1998" s="70"/>
      <c r="N1998" s="70"/>
    </row>
    <row r="1999" spans="11:14">
      <c r="K1999" s="70"/>
      <c r="L1999" s="70"/>
      <c r="M1999" s="70"/>
      <c r="N1999" s="70"/>
    </row>
    <row r="2000" spans="11:14">
      <c r="K2000" s="70"/>
      <c r="L2000" s="70"/>
      <c r="M2000" s="70"/>
      <c r="N2000" s="70"/>
    </row>
    <row r="2001" spans="11:14">
      <c r="K2001" s="70"/>
      <c r="L2001" s="70"/>
      <c r="M2001" s="70"/>
      <c r="N2001" s="70"/>
    </row>
    <row r="2002" spans="11:14">
      <c r="K2002" s="70"/>
      <c r="L2002" s="70"/>
      <c r="M2002" s="70"/>
      <c r="N2002" s="70"/>
    </row>
    <row r="2003" spans="11:14">
      <c r="K2003" s="70"/>
      <c r="L2003" s="70"/>
      <c r="M2003" s="70"/>
      <c r="N2003" s="70"/>
    </row>
    <row r="2004" spans="11:14">
      <c r="K2004" s="70"/>
      <c r="L2004" s="70"/>
      <c r="M2004" s="70"/>
      <c r="N2004" s="70"/>
    </row>
    <row r="2005" spans="11:14">
      <c r="K2005" s="70"/>
      <c r="L2005" s="70"/>
      <c r="M2005" s="70"/>
      <c r="N2005" s="70"/>
    </row>
    <row r="2006" spans="11:14">
      <c r="K2006" s="70"/>
      <c r="L2006" s="70"/>
      <c r="M2006" s="70"/>
      <c r="N2006" s="70"/>
    </row>
    <row r="2007" spans="11:14">
      <c r="K2007" s="70"/>
      <c r="L2007" s="70"/>
      <c r="M2007" s="70"/>
      <c r="N2007" s="70"/>
    </row>
    <row r="2008" spans="11:14">
      <c r="K2008" s="70"/>
      <c r="L2008" s="70"/>
      <c r="M2008" s="70"/>
      <c r="N2008" s="70"/>
    </row>
    <row r="2009" spans="11:14">
      <c r="K2009" s="70"/>
      <c r="L2009" s="70"/>
      <c r="M2009" s="70"/>
      <c r="N2009" s="70"/>
    </row>
    <row r="2010" spans="11:14">
      <c r="K2010" s="70"/>
      <c r="L2010" s="70"/>
      <c r="M2010" s="70"/>
      <c r="N2010" s="70"/>
    </row>
    <row r="2011" spans="11:14">
      <c r="K2011" s="70"/>
      <c r="L2011" s="70"/>
      <c r="M2011" s="70"/>
      <c r="N2011" s="70"/>
    </row>
    <row r="2012" spans="11:14">
      <c r="K2012" s="70"/>
      <c r="L2012" s="70"/>
      <c r="M2012" s="70"/>
      <c r="N2012" s="70"/>
    </row>
    <row r="2013" spans="11:14">
      <c r="K2013" s="70"/>
      <c r="L2013" s="70"/>
      <c r="M2013" s="70"/>
      <c r="N2013" s="70"/>
    </row>
    <row r="2014" spans="11:14">
      <c r="K2014" s="70"/>
      <c r="L2014" s="70"/>
      <c r="M2014" s="70"/>
      <c r="N2014" s="70"/>
    </row>
    <row r="2015" spans="11:14">
      <c r="K2015" s="70"/>
      <c r="L2015" s="70"/>
      <c r="M2015" s="70"/>
      <c r="N2015" s="70"/>
    </row>
    <row r="2016" spans="11:14">
      <c r="K2016" s="70"/>
      <c r="L2016" s="70"/>
      <c r="M2016" s="70"/>
      <c r="N2016" s="70"/>
    </row>
    <row r="2017" spans="11:14">
      <c r="K2017" s="70"/>
      <c r="L2017" s="70"/>
      <c r="M2017" s="70"/>
      <c r="N2017" s="70"/>
    </row>
    <row r="2018" spans="11:14">
      <c r="K2018" s="70"/>
      <c r="L2018" s="70"/>
      <c r="M2018" s="70"/>
      <c r="N2018" s="70"/>
    </row>
    <row r="2019" spans="11:14">
      <c r="K2019" s="70"/>
      <c r="L2019" s="70"/>
      <c r="M2019" s="70"/>
      <c r="N2019" s="70"/>
    </row>
    <row r="2020" spans="11:14">
      <c r="K2020" s="70"/>
      <c r="L2020" s="70"/>
      <c r="M2020" s="70"/>
      <c r="N2020" s="70"/>
    </row>
    <row r="2021" spans="11:14">
      <c r="K2021" s="70"/>
      <c r="L2021" s="70"/>
      <c r="M2021" s="70"/>
      <c r="N2021" s="70"/>
    </row>
    <row r="2022" spans="11:14">
      <c r="K2022" s="70"/>
      <c r="L2022" s="70"/>
      <c r="M2022" s="70"/>
      <c r="N2022" s="70"/>
    </row>
    <row r="2023" spans="11:14">
      <c r="K2023" s="70"/>
      <c r="L2023" s="70"/>
      <c r="M2023" s="70"/>
      <c r="N2023" s="70"/>
    </row>
    <row r="2024" spans="11:14">
      <c r="K2024" s="70"/>
      <c r="L2024" s="70"/>
      <c r="M2024" s="70"/>
      <c r="N2024" s="70"/>
    </row>
    <row r="2025" spans="11:14">
      <c r="K2025" s="70"/>
      <c r="L2025" s="70"/>
      <c r="M2025" s="70"/>
      <c r="N2025" s="70"/>
    </row>
    <row r="2026" spans="11:14">
      <c r="K2026" s="70"/>
      <c r="L2026" s="70"/>
      <c r="M2026" s="70"/>
      <c r="N2026" s="70"/>
    </row>
    <row r="2027" spans="11:14">
      <c r="K2027" s="70"/>
      <c r="L2027" s="70"/>
      <c r="M2027" s="70"/>
      <c r="N2027" s="70"/>
    </row>
    <row r="2028" spans="11:14">
      <c r="K2028" s="70"/>
      <c r="L2028" s="70"/>
      <c r="M2028" s="70"/>
      <c r="N2028" s="70"/>
    </row>
    <row r="2029" spans="11:14">
      <c r="K2029" s="70"/>
      <c r="L2029" s="70"/>
      <c r="M2029" s="70"/>
      <c r="N2029" s="70"/>
    </row>
    <row r="2030" spans="11:14">
      <c r="K2030" s="70"/>
      <c r="L2030" s="70"/>
      <c r="M2030" s="70"/>
      <c r="N2030" s="70"/>
    </row>
    <row r="2031" spans="11:14">
      <c r="K2031" s="70"/>
      <c r="L2031" s="70"/>
      <c r="M2031" s="70"/>
      <c r="N2031" s="70"/>
    </row>
    <row r="2032" spans="11:14">
      <c r="K2032" s="70"/>
      <c r="L2032" s="70"/>
      <c r="M2032" s="70"/>
      <c r="N2032" s="70"/>
    </row>
    <row r="2033" spans="11:14">
      <c r="K2033" s="70"/>
      <c r="L2033" s="70"/>
      <c r="M2033" s="70"/>
      <c r="N2033" s="70"/>
    </row>
    <row r="2034" spans="11:14">
      <c r="K2034" s="70"/>
      <c r="L2034" s="70"/>
      <c r="M2034" s="70"/>
      <c r="N2034" s="70"/>
    </row>
    <row r="2035" spans="11:14">
      <c r="K2035" s="70"/>
      <c r="L2035" s="70"/>
      <c r="M2035" s="70"/>
      <c r="N2035" s="70"/>
    </row>
    <row r="2036" spans="11:14">
      <c r="K2036" s="70"/>
      <c r="L2036" s="70"/>
      <c r="M2036" s="70"/>
      <c r="N2036" s="70"/>
    </row>
    <row r="2037" spans="11:14">
      <c r="K2037" s="70"/>
      <c r="L2037" s="70"/>
      <c r="M2037" s="70"/>
      <c r="N2037" s="70"/>
    </row>
    <row r="2038" spans="11:14">
      <c r="K2038" s="70"/>
      <c r="L2038" s="70"/>
      <c r="M2038" s="70"/>
      <c r="N2038" s="70"/>
    </row>
    <row r="2039" spans="11:14">
      <c r="K2039" s="70"/>
      <c r="L2039" s="70"/>
      <c r="M2039" s="70"/>
      <c r="N2039" s="70"/>
    </row>
    <row r="2040" spans="11:14">
      <c r="K2040" s="70"/>
      <c r="L2040" s="70"/>
      <c r="M2040" s="70"/>
      <c r="N2040" s="70"/>
    </row>
    <row r="2041" spans="11:14">
      <c r="K2041" s="70"/>
      <c r="L2041" s="70"/>
      <c r="M2041" s="70"/>
      <c r="N2041" s="70"/>
    </row>
    <row r="2042" spans="11:14">
      <c r="K2042" s="70"/>
      <c r="L2042" s="70"/>
      <c r="M2042" s="70"/>
      <c r="N2042" s="70"/>
    </row>
    <row r="2043" spans="11:14">
      <c r="K2043" s="70"/>
      <c r="L2043" s="70"/>
      <c r="M2043" s="70"/>
      <c r="N2043" s="70"/>
    </row>
    <row r="2044" spans="11:14">
      <c r="K2044" s="70"/>
      <c r="L2044" s="70"/>
      <c r="M2044" s="70"/>
      <c r="N2044" s="70"/>
    </row>
    <row r="2045" spans="11:14">
      <c r="K2045" s="70"/>
      <c r="L2045" s="70"/>
      <c r="M2045" s="70"/>
      <c r="N2045" s="70"/>
    </row>
    <row r="2046" spans="11:14">
      <c r="K2046" s="70"/>
      <c r="L2046" s="70"/>
      <c r="M2046" s="70"/>
      <c r="N2046" s="70"/>
    </row>
    <row r="2047" spans="11:14">
      <c r="K2047" s="70"/>
      <c r="L2047" s="70"/>
      <c r="M2047" s="70"/>
      <c r="N2047" s="70"/>
    </row>
    <row r="2048" spans="11:14">
      <c r="K2048" s="70"/>
      <c r="L2048" s="70"/>
      <c r="M2048" s="70"/>
      <c r="N2048" s="70"/>
    </row>
    <row r="2049" spans="11:14">
      <c r="K2049" s="70"/>
      <c r="L2049" s="70"/>
      <c r="M2049" s="70"/>
      <c r="N2049" s="70"/>
    </row>
    <row r="2050" spans="11:14">
      <c r="K2050" s="70"/>
      <c r="L2050" s="70"/>
      <c r="M2050" s="70"/>
      <c r="N2050" s="70"/>
    </row>
    <row r="2051" spans="11:14">
      <c r="K2051" s="70"/>
      <c r="L2051" s="70"/>
      <c r="M2051" s="70"/>
      <c r="N2051" s="70"/>
    </row>
    <row r="2052" spans="11:14">
      <c r="K2052" s="70"/>
      <c r="L2052" s="70"/>
      <c r="M2052" s="70"/>
      <c r="N2052" s="70"/>
    </row>
    <row r="2053" spans="11:14">
      <c r="K2053" s="70"/>
      <c r="L2053" s="70"/>
      <c r="M2053" s="70"/>
      <c r="N2053" s="70"/>
    </row>
    <row r="2054" spans="11:14">
      <c r="K2054" s="70"/>
      <c r="L2054" s="70"/>
      <c r="M2054" s="70"/>
      <c r="N2054" s="70"/>
    </row>
    <row r="2055" spans="11:14">
      <c r="K2055" s="70"/>
      <c r="L2055" s="70"/>
      <c r="M2055" s="70"/>
      <c r="N2055" s="70"/>
    </row>
    <row r="2056" spans="11:14">
      <c r="K2056" s="70"/>
      <c r="L2056" s="70"/>
      <c r="M2056" s="70"/>
      <c r="N2056" s="70"/>
    </row>
    <row r="2057" spans="11:14">
      <c r="K2057" s="70"/>
      <c r="L2057" s="70"/>
      <c r="M2057" s="70"/>
      <c r="N2057" s="70"/>
    </row>
    <row r="2058" spans="11:14">
      <c r="K2058" s="70"/>
      <c r="L2058" s="70"/>
      <c r="M2058" s="70"/>
      <c r="N2058" s="70"/>
    </row>
    <row r="2059" spans="11:14">
      <c r="K2059" s="70"/>
      <c r="L2059" s="70"/>
      <c r="M2059" s="70"/>
      <c r="N2059" s="70"/>
    </row>
    <row r="2060" spans="11:14">
      <c r="K2060" s="70"/>
      <c r="L2060" s="70"/>
      <c r="M2060" s="70"/>
      <c r="N2060" s="70"/>
    </row>
    <row r="2061" spans="11:14">
      <c r="K2061" s="70"/>
      <c r="L2061" s="70"/>
      <c r="M2061" s="70"/>
      <c r="N2061" s="70"/>
    </row>
    <row r="2062" spans="11:14">
      <c r="K2062" s="70"/>
      <c r="L2062" s="70"/>
      <c r="M2062" s="70"/>
      <c r="N2062" s="70"/>
    </row>
    <row r="2063" spans="11:14">
      <c r="K2063" s="70"/>
      <c r="L2063" s="70"/>
      <c r="M2063" s="70"/>
      <c r="N2063" s="70"/>
    </row>
    <row r="2064" spans="11:14">
      <c r="K2064" s="70"/>
      <c r="L2064" s="70"/>
      <c r="M2064" s="70"/>
      <c r="N2064" s="70"/>
    </row>
    <row r="2065" spans="11:14">
      <c r="K2065" s="70"/>
      <c r="L2065" s="70"/>
      <c r="M2065" s="70"/>
      <c r="N2065" s="70"/>
    </row>
    <row r="2066" spans="11:14">
      <c r="K2066" s="70"/>
      <c r="L2066" s="70"/>
      <c r="M2066" s="70"/>
      <c r="N2066" s="70"/>
    </row>
    <row r="2067" spans="11:14">
      <c r="K2067" s="70"/>
      <c r="L2067" s="70"/>
      <c r="M2067" s="70"/>
      <c r="N2067" s="70"/>
    </row>
    <row r="2068" spans="11:14">
      <c r="K2068" s="70"/>
      <c r="L2068" s="70"/>
      <c r="M2068" s="70"/>
      <c r="N2068" s="70"/>
    </row>
    <row r="2069" spans="11:14">
      <c r="K2069" s="70"/>
      <c r="L2069" s="70"/>
      <c r="M2069" s="70"/>
      <c r="N2069" s="70"/>
    </row>
    <row r="2070" spans="11:14">
      <c r="K2070" s="70"/>
      <c r="L2070" s="70"/>
      <c r="M2070" s="70"/>
      <c r="N2070" s="70"/>
    </row>
    <row r="2071" spans="11:14">
      <c r="K2071" s="70"/>
      <c r="L2071" s="70"/>
      <c r="M2071" s="70"/>
      <c r="N2071" s="70"/>
    </row>
    <row r="2072" spans="11:14">
      <c r="K2072" s="70"/>
      <c r="L2072" s="70"/>
      <c r="M2072" s="70"/>
      <c r="N2072" s="70"/>
    </row>
    <row r="2073" spans="11:14">
      <c r="K2073" s="70"/>
      <c r="L2073" s="70"/>
      <c r="M2073" s="70"/>
      <c r="N2073" s="70"/>
    </row>
    <row r="2074" spans="11:14">
      <c r="K2074" s="70"/>
      <c r="L2074" s="70"/>
      <c r="M2074" s="70"/>
      <c r="N2074" s="70"/>
    </row>
    <row r="2075" spans="11:14">
      <c r="K2075" s="70"/>
      <c r="L2075" s="70"/>
      <c r="M2075" s="70"/>
      <c r="N2075" s="70"/>
    </row>
    <row r="2076" spans="11:14">
      <c r="K2076" s="70"/>
      <c r="L2076" s="70"/>
      <c r="M2076" s="70"/>
      <c r="N2076" s="70"/>
    </row>
    <row r="2077" spans="11:14">
      <c r="K2077" s="70"/>
      <c r="L2077" s="70"/>
      <c r="M2077" s="70"/>
      <c r="N2077" s="70"/>
    </row>
    <row r="2078" spans="11:14">
      <c r="K2078" s="70"/>
      <c r="L2078" s="70"/>
      <c r="M2078" s="70"/>
      <c r="N2078" s="70"/>
    </row>
    <row r="2079" spans="11:14">
      <c r="K2079" s="70"/>
      <c r="L2079" s="70"/>
      <c r="M2079" s="70"/>
      <c r="N2079" s="70"/>
    </row>
    <row r="2080" spans="11:14">
      <c r="K2080" s="70"/>
      <c r="L2080" s="70"/>
      <c r="M2080" s="70"/>
      <c r="N2080" s="70"/>
    </row>
    <row r="2081" spans="11:14">
      <c r="K2081" s="70"/>
      <c r="L2081" s="70"/>
      <c r="M2081" s="70"/>
      <c r="N2081" s="70"/>
    </row>
    <row r="2082" spans="11:14">
      <c r="K2082" s="70"/>
      <c r="L2082" s="70"/>
      <c r="M2082" s="70"/>
      <c r="N2082" s="70"/>
    </row>
    <row r="2083" spans="11:14">
      <c r="K2083" s="70"/>
      <c r="L2083" s="70"/>
      <c r="M2083" s="70"/>
      <c r="N2083" s="70"/>
    </row>
    <row r="2084" spans="11:14">
      <c r="K2084" s="70"/>
      <c r="L2084" s="70"/>
      <c r="M2084" s="70"/>
      <c r="N2084" s="70"/>
    </row>
    <row r="2085" spans="11:14">
      <c r="K2085" s="70"/>
      <c r="L2085" s="70"/>
      <c r="M2085" s="70"/>
      <c r="N2085" s="70"/>
    </row>
    <row r="2086" spans="11:14">
      <c r="K2086" s="70"/>
      <c r="L2086" s="70"/>
      <c r="M2086" s="70"/>
      <c r="N2086" s="70"/>
    </row>
    <row r="2087" spans="11:14">
      <c r="K2087" s="70"/>
      <c r="L2087" s="70"/>
      <c r="M2087" s="70"/>
      <c r="N2087" s="70"/>
    </row>
    <row r="2088" spans="11:14">
      <c r="K2088" s="70"/>
      <c r="L2088" s="70"/>
      <c r="M2088" s="70"/>
      <c r="N2088" s="70"/>
    </row>
    <row r="2089" spans="11:14">
      <c r="K2089" s="70"/>
      <c r="L2089" s="70"/>
      <c r="M2089" s="70"/>
      <c r="N2089" s="70"/>
    </row>
    <row r="2090" spans="11:14">
      <c r="K2090" s="70"/>
      <c r="L2090" s="70"/>
      <c r="M2090" s="70"/>
      <c r="N2090" s="70"/>
    </row>
    <row r="2091" spans="11:14">
      <c r="K2091" s="70"/>
      <c r="L2091" s="70"/>
      <c r="M2091" s="70"/>
      <c r="N2091" s="70"/>
    </row>
    <row r="2092" spans="11:14">
      <c r="K2092" s="70"/>
      <c r="L2092" s="70"/>
      <c r="M2092" s="70"/>
      <c r="N2092" s="70"/>
    </row>
    <row r="2093" spans="11:14">
      <c r="K2093" s="70"/>
      <c r="L2093" s="70"/>
      <c r="M2093" s="70"/>
      <c r="N2093" s="70"/>
    </row>
    <row r="2094" spans="11:14">
      <c r="K2094" s="70"/>
      <c r="L2094" s="70"/>
      <c r="M2094" s="70"/>
      <c r="N2094" s="70"/>
    </row>
    <row r="2095" spans="11:14">
      <c r="K2095" s="70"/>
      <c r="L2095" s="70"/>
      <c r="M2095" s="70"/>
      <c r="N2095" s="70"/>
    </row>
    <row r="2096" spans="11:14">
      <c r="K2096" s="70"/>
      <c r="L2096" s="70"/>
      <c r="M2096" s="70"/>
      <c r="N2096" s="70"/>
    </row>
    <row r="2097" spans="11:14">
      <c r="K2097" s="70"/>
      <c r="L2097" s="70"/>
      <c r="M2097" s="70"/>
      <c r="N2097" s="70"/>
    </row>
    <row r="2098" spans="11:14">
      <c r="K2098" s="70"/>
      <c r="L2098" s="70"/>
      <c r="M2098" s="70"/>
      <c r="N2098" s="70"/>
    </row>
    <row r="2099" spans="11:14">
      <c r="K2099" s="70"/>
      <c r="L2099" s="70"/>
      <c r="M2099" s="70"/>
      <c r="N2099" s="70"/>
    </row>
    <row r="2100" spans="11:14">
      <c r="K2100" s="70"/>
      <c r="L2100" s="70"/>
      <c r="M2100" s="70"/>
      <c r="N2100" s="70"/>
    </row>
    <row r="2101" spans="11:14">
      <c r="K2101" s="70"/>
      <c r="L2101" s="70"/>
      <c r="M2101" s="70"/>
      <c r="N2101" s="70"/>
    </row>
    <row r="2102" spans="11:14">
      <c r="K2102" s="70"/>
      <c r="L2102" s="70"/>
      <c r="M2102" s="70"/>
      <c r="N2102" s="70"/>
    </row>
    <row r="2103" spans="11:14">
      <c r="K2103" s="70"/>
      <c r="L2103" s="70"/>
      <c r="M2103" s="70"/>
      <c r="N2103" s="70"/>
    </row>
    <row r="2104" spans="11:14">
      <c r="K2104" s="70"/>
      <c r="L2104" s="70"/>
      <c r="M2104" s="70"/>
      <c r="N2104" s="70"/>
    </row>
    <row r="2105" spans="11:14">
      <c r="K2105" s="70"/>
      <c r="L2105" s="70"/>
      <c r="M2105" s="70"/>
      <c r="N2105" s="70"/>
    </row>
    <row r="2106" spans="11:14">
      <c r="K2106" s="70"/>
      <c r="L2106" s="70"/>
      <c r="M2106" s="70"/>
      <c r="N2106" s="70"/>
    </row>
    <row r="2107" spans="11:14">
      <c r="K2107" s="70"/>
      <c r="L2107" s="70"/>
      <c r="M2107" s="70"/>
      <c r="N2107" s="70"/>
    </row>
    <row r="2108" spans="11:14">
      <c r="K2108" s="70"/>
      <c r="L2108" s="70"/>
      <c r="M2108" s="70"/>
      <c r="N2108" s="70"/>
    </row>
    <row r="2109" spans="11:14">
      <c r="K2109" s="70"/>
      <c r="L2109" s="70"/>
      <c r="M2109" s="70"/>
      <c r="N2109" s="70"/>
    </row>
    <row r="2110" spans="11:14">
      <c r="K2110" s="70"/>
      <c r="L2110" s="70"/>
      <c r="M2110" s="70"/>
      <c r="N2110" s="70"/>
    </row>
    <row r="2111" spans="11:14">
      <c r="K2111" s="70"/>
      <c r="L2111" s="70"/>
      <c r="M2111" s="70"/>
      <c r="N2111" s="70"/>
    </row>
    <row r="2112" spans="11:14">
      <c r="K2112" s="70"/>
      <c r="L2112" s="70"/>
      <c r="M2112" s="70"/>
      <c r="N2112" s="70"/>
    </row>
    <row r="2113" spans="11:14">
      <c r="K2113" s="70"/>
      <c r="L2113" s="70"/>
      <c r="M2113" s="70"/>
      <c r="N2113" s="70"/>
    </row>
    <row r="2114" spans="11:14">
      <c r="K2114" s="70"/>
      <c r="L2114" s="70"/>
      <c r="M2114" s="70"/>
      <c r="N2114" s="70"/>
    </row>
    <row r="2115" spans="11:14">
      <c r="K2115" s="70"/>
      <c r="L2115" s="70"/>
      <c r="M2115" s="70"/>
      <c r="N2115" s="70"/>
    </row>
    <row r="2116" spans="11:14">
      <c r="K2116" s="70"/>
      <c r="L2116" s="70"/>
      <c r="M2116" s="70"/>
      <c r="N2116" s="70"/>
    </row>
    <row r="2117" spans="11:14">
      <c r="K2117" s="70"/>
      <c r="L2117" s="70"/>
      <c r="M2117" s="70"/>
      <c r="N2117" s="70"/>
    </row>
    <row r="2118" spans="11:14">
      <c r="K2118" s="70"/>
      <c r="L2118" s="70"/>
      <c r="M2118" s="70"/>
      <c r="N2118" s="70"/>
    </row>
    <row r="2119" spans="11:14">
      <c r="K2119" s="70"/>
      <c r="L2119" s="70"/>
      <c r="M2119" s="70"/>
      <c r="N2119" s="70"/>
    </row>
    <row r="2120" spans="11:14">
      <c r="K2120" s="70"/>
      <c r="L2120" s="70"/>
      <c r="M2120" s="70"/>
      <c r="N2120" s="70"/>
    </row>
    <row r="2121" spans="11:14">
      <c r="K2121" s="70"/>
      <c r="L2121" s="70"/>
      <c r="M2121" s="70"/>
      <c r="N2121" s="70"/>
    </row>
    <row r="2122" spans="11:14">
      <c r="K2122" s="70"/>
      <c r="L2122" s="70"/>
      <c r="M2122" s="70"/>
      <c r="N2122" s="70"/>
    </row>
    <row r="2123" spans="11:14">
      <c r="K2123" s="70"/>
      <c r="L2123" s="70"/>
      <c r="M2123" s="70"/>
      <c r="N2123" s="70"/>
    </row>
    <row r="2124" spans="11:14">
      <c r="K2124" s="70"/>
      <c r="L2124" s="70"/>
      <c r="M2124" s="70"/>
      <c r="N2124" s="70"/>
    </row>
    <row r="2125" spans="11:14">
      <c r="K2125" s="70"/>
      <c r="L2125" s="70"/>
      <c r="M2125" s="70"/>
      <c r="N2125" s="70"/>
    </row>
    <row r="2126" spans="11:14">
      <c r="K2126" s="70"/>
      <c r="L2126" s="70"/>
      <c r="M2126" s="70"/>
      <c r="N2126" s="70"/>
    </row>
    <row r="2127" spans="11:14">
      <c r="K2127" s="70"/>
      <c r="L2127" s="70"/>
      <c r="M2127" s="70"/>
      <c r="N2127" s="70"/>
    </row>
    <row r="2128" spans="11:14">
      <c r="K2128" s="70"/>
      <c r="L2128" s="70"/>
      <c r="M2128" s="70"/>
      <c r="N2128" s="70"/>
    </row>
    <row r="2129" spans="11:14">
      <c r="K2129" s="70"/>
      <c r="L2129" s="70"/>
      <c r="M2129" s="70"/>
      <c r="N2129" s="70"/>
    </row>
    <row r="2130" spans="11:14">
      <c r="K2130" s="70"/>
      <c r="L2130" s="70"/>
      <c r="M2130" s="70"/>
      <c r="N2130" s="70"/>
    </row>
    <row r="2131" spans="11:14">
      <c r="K2131" s="70"/>
      <c r="L2131" s="70"/>
      <c r="M2131" s="70"/>
      <c r="N2131" s="70"/>
    </row>
    <row r="2132" spans="11:14">
      <c r="K2132" s="70"/>
      <c r="L2132" s="70"/>
      <c r="M2132" s="70"/>
      <c r="N2132" s="70"/>
    </row>
    <row r="2133" spans="11:14">
      <c r="K2133" s="70"/>
      <c r="L2133" s="70"/>
      <c r="M2133" s="70"/>
      <c r="N2133" s="70"/>
    </row>
    <row r="2134" spans="11:14">
      <c r="K2134" s="70"/>
      <c r="L2134" s="70"/>
      <c r="M2134" s="70"/>
      <c r="N2134" s="70"/>
    </row>
    <row r="2135" spans="11:14">
      <c r="K2135" s="70"/>
      <c r="L2135" s="70"/>
      <c r="M2135" s="70"/>
      <c r="N2135" s="70"/>
    </row>
    <row r="2136" spans="11:14">
      <c r="K2136" s="70"/>
      <c r="L2136" s="70"/>
      <c r="M2136" s="70"/>
      <c r="N2136" s="70"/>
    </row>
    <row r="2137" spans="11:14">
      <c r="K2137" s="70"/>
      <c r="L2137" s="70"/>
      <c r="M2137" s="70"/>
      <c r="N2137" s="70"/>
    </row>
    <row r="2138" spans="11:14">
      <c r="K2138" s="70"/>
      <c r="L2138" s="70"/>
      <c r="M2138" s="70"/>
      <c r="N2138" s="70"/>
    </row>
    <row r="2139" spans="11:14">
      <c r="K2139" s="70"/>
      <c r="L2139" s="70"/>
      <c r="M2139" s="70"/>
      <c r="N2139" s="70"/>
    </row>
    <row r="2140" spans="11:14">
      <c r="K2140" s="70"/>
      <c r="L2140" s="70"/>
      <c r="M2140" s="70"/>
      <c r="N2140" s="70"/>
    </row>
    <row r="2141" spans="11:14">
      <c r="K2141" s="70"/>
      <c r="L2141" s="70"/>
      <c r="M2141" s="70"/>
      <c r="N2141" s="70"/>
    </row>
    <row r="2142" spans="11:14">
      <c r="K2142" s="70"/>
      <c r="L2142" s="70"/>
      <c r="M2142" s="70"/>
      <c r="N2142" s="70"/>
    </row>
    <row r="2143" spans="11:14">
      <c r="K2143" s="70"/>
      <c r="L2143" s="70"/>
      <c r="M2143" s="70"/>
      <c r="N2143" s="70"/>
    </row>
    <row r="2144" spans="11:14">
      <c r="K2144" s="70"/>
      <c r="L2144" s="70"/>
      <c r="M2144" s="70"/>
      <c r="N2144" s="70"/>
    </row>
    <row r="2145" spans="11:14">
      <c r="K2145" s="70"/>
      <c r="L2145" s="70"/>
      <c r="M2145" s="70"/>
      <c r="N2145" s="70"/>
    </row>
    <row r="2146" spans="11:14">
      <c r="K2146" s="70"/>
      <c r="L2146" s="70"/>
      <c r="M2146" s="70"/>
      <c r="N2146" s="70"/>
    </row>
    <row r="2147" spans="11:14">
      <c r="K2147" s="70"/>
      <c r="L2147" s="70"/>
      <c r="M2147" s="70"/>
      <c r="N2147" s="70"/>
    </row>
    <row r="2148" spans="11:14">
      <c r="K2148" s="70"/>
      <c r="L2148" s="70"/>
      <c r="M2148" s="70"/>
      <c r="N2148" s="70"/>
    </row>
    <row r="2149" spans="11:14">
      <c r="K2149" s="70"/>
      <c r="L2149" s="70"/>
      <c r="M2149" s="70"/>
      <c r="N2149" s="70"/>
    </row>
    <row r="2150" spans="11:14">
      <c r="K2150" s="70"/>
      <c r="L2150" s="70"/>
      <c r="M2150" s="70"/>
      <c r="N2150" s="70"/>
    </row>
    <row r="2151" spans="11:14">
      <c r="K2151" s="70"/>
      <c r="L2151" s="70"/>
      <c r="M2151" s="70"/>
      <c r="N2151" s="70"/>
    </row>
    <row r="2152" spans="11:14">
      <c r="K2152" s="70"/>
      <c r="L2152" s="70"/>
      <c r="M2152" s="70"/>
      <c r="N2152" s="70"/>
    </row>
    <row r="2153" spans="11:14">
      <c r="K2153" s="70"/>
      <c r="L2153" s="70"/>
      <c r="M2153" s="70"/>
      <c r="N2153" s="70"/>
    </row>
    <row r="2154" spans="11:14">
      <c r="K2154" s="70"/>
      <c r="L2154" s="70"/>
      <c r="M2154" s="70"/>
      <c r="N2154" s="70"/>
    </row>
    <row r="2155" spans="11:14">
      <c r="K2155" s="70"/>
      <c r="L2155" s="70"/>
      <c r="M2155" s="70"/>
      <c r="N2155" s="70"/>
    </row>
    <row r="2156" spans="11:14">
      <c r="K2156" s="70"/>
      <c r="L2156" s="70"/>
      <c r="M2156" s="70"/>
      <c r="N2156" s="70"/>
    </row>
    <row r="2157" spans="11:14">
      <c r="K2157" s="70"/>
      <c r="L2157" s="70"/>
      <c r="M2157" s="70"/>
      <c r="N2157" s="70"/>
    </row>
    <row r="2158" spans="11:14">
      <c r="K2158" s="70"/>
      <c r="L2158" s="70"/>
      <c r="M2158" s="70"/>
      <c r="N2158" s="70"/>
    </row>
    <row r="2159" spans="11:14">
      <c r="K2159" s="70"/>
      <c r="L2159" s="70"/>
      <c r="M2159" s="70"/>
      <c r="N2159" s="70"/>
    </row>
    <row r="2160" spans="11:14">
      <c r="K2160" s="70"/>
      <c r="L2160" s="70"/>
      <c r="M2160" s="70"/>
      <c r="N2160" s="70"/>
    </row>
    <row r="2161" spans="11:14">
      <c r="K2161" s="70"/>
      <c r="L2161" s="70"/>
      <c r="M2161" s="70"/>
      <c r="N2161" s="70"/>
    </row>
    <row r="2162" spans="11:14">
      <c r="K2162" s="70"/>
      <c r="L2162" s="70"/>
      <c r="M2162" s="70"/>
      <c r="N2162" s="70"/>
    </row>
    <row r="2163" spans="11:14">
      <c r="K2163" s="70"/>
      <c r="L2163" s="70"/>
      <c r="M2163" s="70"/>
      <c r="N2163" s="70"/>
    </row>
    <row r="2164" spans="11:14">
      <c r="K2164" s="70"/>
      <c r="L2164" s="70"/>
      <c r="M2164" s="70"/>
      <c r="N2164" s="70"/>
    </row>
    <row r="2165" spans="11:14">
      <c r="K2165" s="70"/>
      <c r="L2165" s="70"/>
      <c r="M2165" s="70"/>
      <c r="N2165" s="70"/>
    </row>
    <row r="2166" spans="11:14">
      <c r="K2166" s="70"/>
      <c r="L2166" s="70"/>
      <c r="M2166" s="70"/>
      <c r="N2166" s="70"/>
    </row>
    <row r="2167" spans="11:14">
      <c r="K2167" s="70"/>
      <c r="L2167" s="70"/>
      <c r="M2167" s="70"/>
      <c r="N2167" s="70"/>
    </row>
    <row r="2168" spans="11:14">
      <c r="K2168" s="70"/>
      <c r="L2168" s="70"/>
      <c r="M2168" s="70"/>
      <c r="N2168" s="70"/>
    </row>
    <row r="2169" spans="11:14">
      <c r="K2169" s="70"/>
      <c r="L2169" s="70"/>
      <c r="M2169" s="70"/>
      <c r="N2169" s="70"/>
    </row>
    <row r="2170" spans="11:14">
      <c r="K2170" s="70"/>
      <c r="L2170" s="70"/>
      <c r="M2170" s="70"/>
      <c r="N2170" s="70"/>
    </row>
    <row r="2171" spans="11:14">
      <c r="K2171" s="70"/>
      <c r="L2171" s="70"/>
      <c r="M2171" s="70"/>
      <c r="N2171" s="70"/>
    </row>
    <row r="2172" spans="11:14">
      <c r="K2172" s="70"/>
      <c r="L2172" s="70"/>
      <c r="M2172" s="70"/>
      <c r="N2172" s="70"/>
    </row>
    <row r="2173" spans="11:14">
      <c r="K2173" s="70"/>
      <c r="L2173" s="70"/>
      <c r="M2173" s="70"/>
      <c r="N2173" s="70"/>
    </row>
    <row r="2174" spans="11:14">
      <c r="K2174" s="70"/>
      <c r="L2174" s="70"/>
      <c r="M2174" s="70"/>
      <c r="N2174" s="70"/>
    </row>
    <row r="2175" spans="11:14">
      <c r="K2175" s="70"/>
      <c r="L2175" s="70"/>
      <c r="M2175" s="70"/>
      <c r="N2175" s="70"/>
    </row>
    <row r="2176" spans="11:14">
      <c r="K2176" s="70"/>
      <c r="L2176" s="70"/>
      <c r="M2176" s="70"/>
      <c r="N2176" s="70"/>
    </row>
    <row r="2177" spans="11:14">
      <c r="K2177" s="70"/>
      <c r="L2177" s="70"/>
      <c r="M2177" s="70"/>
      <c r="N2177" s="70"/>
    </row>
    <row r="2178" spans="11:14">
      <c r="K2178" s="70"/>
      <c r="L2178" s="70"/>
      <c r="M2178" s="70"/>
      <c r="N2178" s="70"/>
    </row>
    <row r="2179" spans="11:14">
      <c r="K2179" s="70"/>
      <c r="L2179" s="70"/>
      <c r="M2179" s="70"/>
      <c r="N2179" s="70"/>
    </row>
    <row r="2180" spans="11:14">
      <c r="K2180" s="70"/>
      <c r="L2180" s="70"/>
      <c r="M2180" s="70"/>
      <c r="N2180" s="70"/>
    </row>
    <row r="2181" spans="11:14">
      <c r="K2181" s="70"/>
      <c r="L2181" s="70"/>
      <c r="M2181" s="70"/>
      <c r="N2181" s="70"/>
    </row>
    <row r="2182" spans="11:14">
      <c r="K2182" s="70"/>
      <c r="L2182" s="70"/>
      <c r="M2182" s="70"/>
      <c r="N2182" s="70"/>
    </row>
    <row r="2183" spans="11:14">
      <c r="K2183" s="70"/>
      <c r="L2183" s="70"/>
      <c r="M2183" s="70"/>
      <c r="N2183" s="70"/>
    </row>
    <row r="2184" spans="11:14">
      <c r="K2184" s="70"/>
      <c r="L2184" s="70"/>
      <c r="M2184" s="70"/>
      <c r="N2184" s="70"/>
    </row>
    <row r="2185" spans="11:14">
      <c r="K2185" s="70"/>
      <c r="L2185" s="70"/>
      <c r="M2185" s="70"/>
      <c r="N2185" s="70"/>
    </row>
    <row r="2186" spans="11:14">
      <c r="K2186" s="70"/>
      <c r="L2186" s="70"/>
      <c r="M2186" s="70"/>
      <c r="N2186" s="70"/>
    </row>
    <row r="2187" spans="11:14">
      <c r="K2187" s="70"/>
      <c r="L2187" s="70"/>
      <c r="M2187" s="70"/>
      <c r="N2187" s="70"/>
    </row>
    <row r="2188" spans="11:14">
      <c r="K2188" s="70"/>
      <c r="L2188" s="70"/>
      <c r="M2188" s="70"/>
      <c r="N2188" s="70"/>
    </row>
    <row r="2189" spans="11:14">
      <c r="K2189" s="70"/>
      <c r="L2189" s="70"/>
      <c r="M2189" s="70"/>
      <c r="N2189" s="70"/>
    </row>
    <row r="2190" spans="11:14">
      <c r="K2190" s="70"/>
      <c r="L2190" s="70"/>
      <c r="M2190" s="70"/>
      <c r="N2190" s="70"/>
    </row>
    <row r="2191" spans="11:14">
      <c r="K2191" s="70"/>
      <c r="L2191" s="70"/>
      <c r="M2191" s="70"/>
      <c r="N2191" s="70"/>
    </row>
    <row r="2192" spans="11:14">
      <c r="K2192" s="70"/>
      <c r="L2192" s="70"/>
      <c r="M2192" s="70"/>
      <c r="N2192" s="70"/>
    </row>
    <row r="2193" spans="11:14">
      <c r="K2193" s="70"/>
      <c r="L2193" s="70"/>
      <c r="M2193" s="70"/>
      <c r="N2193" s="70"/>
    </row>
    <row r="2194" spans="11:14">
      <c r="K2194" s="70"/>
      <c r="L2194" s="70"/>
      <c r="M2194" s="70"/>
      <c r="N2194" s="70"/>
    </row>
    <row r="2195" spans="11:14">
      <c r="K2195" s="70"/>
      <c r="L2195" s="70"/>
      <c r="M2195" s="70"/>
      <c r="N2195" s="70"/>
    </row>
    <row r="2196" spans="11:14">
      <c r="K2196" s="70"/>
      <c r="L2196" s="70"/>
      <c r="M2196" s="70"/>
      <c r="N2196" s="70"/>
    </row>
    <row r="2197" spans="11:14">
      <c r="K2197" s="70"/>
      <c r="L2197" s="70"/>
      <c r="M2197" s="70"/>
      <c r="N2197" s="70"/>
    </row>
    <row r="2198" spans="11:14">
      <c r="K2198" s="70"/>
      <c r="L2198" s="70"/>
      <c r="M2198" s="70"/>
      <c r="N2198" s="70"/>
    </row>
    <row r="2199" spans="11:14">
      <c r="K2199" s="70"/>
      <c r="L2199" s="70"/>
      <c r="M2199" s="70"/>
      <c r="N2199" s="70"/>
    </row>
    <row r="2200" spans="11:14">
      <c r="K2200" s="70"/>
      <c r="L2200" s="70"/>
      <c r="M2200" s="70"/>
      <c r="N2200" s="70"/>
    </row>
    <row r="2201" spans="11:14">
      <c r="K2201" s="70"/>
      <c r="L2201" s="70"/>
      <c r="M2201" s="70"/>
      <c r="N2201" s="70"/>
    </row>
    <row r="2202" spans="11:14">
      <c r="K2202" s="70"/>
      <c r="L2202" s="70"/>
      <c r="M2202" s="70"/>
      <c r="N2202" s="70"/>
    </row>
    <row r="2203" spans="11:14">
      <c r="K2203" s="70"/>
      <c r="L2203" s="70"/>
      <c r="M2203" s="70"/>
      <c r="N2203" s="70"/>
    </row>
    <row r="2204" spans="11:14">
      <c r="K2204" s="70"/>
      <c r="L2204" s="70"/>
      <c r="M2204" s="70"/>
      <c r="N2204" s="70"/>
    </row>
    <row r="2205" spans="11:14">
      <c r="K2205" s="70"/>
      <c r="L2205" s="70"/>
      <c r="M2205" s="70"/>
      <c r="N2205" s="70"/>
    </row>
    <row r="2206" spans="11:14">
      <c r="K2206" s="70"/>
      <c r="L2206" s="70"/>
      <c r="M2206" s="70"/>
      <c r="N2206" s="70"/>
    </row>
    <row r="2207" spans="11:14">
      <c r="K2207" s="70"/>
      <c r="L2207" s="70"/>
      <c r="M2207" s="70"/>
      <c r="N2207" s="70"/>
    </row>
    <row r="2208" spans="11:14">
      <c r="K2208" s="70"/>
      <c r="L2208" s="70"/>
      <c r="M2208" s="70"/>
      <c r="N2208" s="70"/>
    </row>
    <row r="2209" spans="11:14">
      <c r="K2209" s="70"/>
      <c r="L2209" s="70"/>
      <c r="M2209" s="70"/>
      <c r="N2209" s="70"/>
    </row>
    <row r="2210" spans="11:14">
      <c r="K2210" s="70"/>
      <c r="L2210" s="70"/>
      <c r="M2210" s="70"/>
      <c r="N2210" s="70"/>
    </row>
    <row r="2211" spans="11:14">
      <c r="K2211" s="70"/>
      <c r="L2211" s="70"/>
      <c r="M2211" s="70"/>
      <c r="N2211" s="70"/>
    </row>
    <row r="2212" spans="11:14">
      <c r="K2212" s="70"/>
      <c r="L2212" s="70"/>
      <c r="M2212" s="70"/>
      <c r="N2212" s="70"/>
    </row>
    <row r="2213" spans="11:14">
      <c r="K2213" s="70"/>
      <c r="L2213" s="70"/>
      <c r="M2213" s="70"/>
      <c r="N2213" s="70"/>
    </row>
    <row r="2214" spans="11:14">
      <c r="K2214" s="70"/>
      <c r="L2214" s="70"/>
      <c r="M2214" s="70"/>
      <c r="N2214" s="70"/>
    </row>
    <row r="2215" spans="11:14">
      <c r="K2215" s="70"/>
      <c r="L2215" s="70"/>
      <c r="M2215" s="70"/>
      <c r="N2215" s="70"/>
    </row>
    <row r="2216" spans="11:14">
      <c r="K2216" s="70"/>
      <c r="L2216" s="70"/>
      <c r="M2216" s="70"/>
      <c r="N2216" s="70"/>
    </row>
    <row r="2217" spans="11:14">
      <c r="K2217" s="70"/>
      <c r="L2217" s="70"/>
      <c r="M2217" s="70"/>
      <c r="N2217" s="70"/>
    </row>
    <row r="2218" spans="11:14">
      <c r="K2218" s="70"/>
      <c r="L2218" s="70"/>
      <c r="M2218" s="70"/>
      <c r="N2218" s="70"/>
    </row>
    <row r="2219" spans="11:14">
      <c r="K2219" s="70"/>
      <c r="L2219" s="70"/>
      <c r="M2219" s="70"/>
      <c r="N2219" s="70"/>
    </row>
    <row r="2220" spans="11:14">
      <c r="K2220" s="70"/>
      <c r="L2220" s="70"/>
      <c r="M2220" s="70"/>
      <c r="N2220" s="70"/>
    </row>
    <row r="2221" spans="11:14">
      <c r="K2221" s="70"/>
      <c r="L2221" s="70"/>
      <c r="M2221" s="70"/>
      <c r="N2221" s="70"/>
    </row>
    <row r="2222" spans="11:14">
      <c r="K2222" s="70"/>
      <c r="L2222" s="70"/>
      <c r="M2222" s="70"/>
      <c r="N2222" s="70"/>
    </row>
    <row r="2223" spans="11:14">
      <c r="K2223" s="70"/>
      <c r="L2223" s="70"/>
      <c r="M2223" s="70"/>
      <c r="N2223" s="70"/>
    </row>
    <row r="2224" spans="11:14">
      <c r="K2224" s="70"/>
      <c r="L2224" s="70"/>
      <c r="M2224" s="70"/>
      <c r="N2224" s="70"/>
    </row>
    <row r="2225" spans="11:14">
      <c r="K2225" s="70"/>
      <c r="L2225" s="70"/>
      <c r="M2225" s="70"/>
      <c r="N2225" s="70"/>
    </row>
    <row r="2226" spans="11:14">
      <c r="K2226" s="70"/>
      <c r="L2226" s="70"/>
      <c r="M2226" s="70"/>
      <c r="N2226" s="70"/>
    </row>
    <row r="2227" spans="11:14">
      <c r="K2227" s="70"/>
      <c r="L2227" s="70"/>
      <c r="M2227" s="70"/>
      <c r="N2227" s="70"/>
    </row>
    <row r="2228" spans="11:14">
      <c r="K2228" s="70"/>
      <c r="L2228" s="70"/>
      <c r="M2228" s="70"/>
      <c r="N2228" s="70"/>
    </row>
    <row r="2229" spans="11:14">
      <c r="K2229" s="70"/>
      <c r="L2229" s="70"/>
      <c r="M2229" s="70"/>
      <c r="N2229" s="70"/>
    </row>
    <row r="2230" spans="11:14">
      <c r="K2230" s="70"/>
      <c r="L2230" s="70"/>
      <c r="M2230" s="70"/>
      <c r="N2230" s="70"/>
    </row>
    <row r="2231" spans="11:14">
      <c r="K2231" s="70"/>
      <c r="L2231" s="70"/>
      <c r="M2231" s="70"/>
      <c r="N2231" s="70"/>
    </row>
    <row r="2232" spans="11:14">
      <c r="K2232" s="70"/>
      <c r="L2232" s="70"/>
      <c r="M2232" s="70"/>
      <c r="N2232" s="70"/>
    </row>
    <row r="2233" spans="11:14">
      <c r="K2233" s="70"/>
      <c r="L2233" s="70"/>
      <c r="M2233" s="70"/>
      <c r="N2233" s="70"/>
    </row>
    <row r="2234" spans="11:14">
      <c r="K2234" s="70"/>
      <c r="L2234" s="70"/>
      <c r="M2234" s="70"/>
      <c r="N2234" s="70"/>
    </row>
    <row r="2235" spans="11:14">
      <c r="K2235" s="70"/>
      <c r="L2235" s="70"/>
      <c r="M2235" s="70"/>
      <c r="N2235" s="70"/>
    </row>
    <row r="2236" spans="11:14">
      <c r="K2236" s="70"/>
      <c r="L2236" s="70"/>
      <c r="M2236" s="70"/>
      <c r="N2236" s="70"/>
    </row>
    <row r="2237" spans="11:14">
      <c r="K2237" s="70"/>
      <c r="L2237" s="70"/>
      <c r="M2237" s="70"/>
      <c r="N2237" s="70"/>
    </row>
    <row r="2238" spans="11:14">
      <c r="K2238" s="70"/>
      <c r="L2238" s="70"/>
      <c r="M2238" s="70"/>
      <c r="N2238" s="70"/>
    </row>
    <row r="2239" spans="11:14">
      <c r="K2239" s="70"/>
      <c r="L2239" s="70"/>
      <c r="M2239" s="70"/>
      <c r="N2239" s="70"/>
    </row>
    <row r="2240" spans="11:14">
      <c r="K2240" s="70"/>
      <c r="L2240" s="70"/>
      <c r="M2240" s="70"/>
      <c r="N2240" s="70"/>
    </row>
    <row r="2241" spans="11:14">
      <c r="K2241" s="70"/>
      <c r="L2241" s="70"/>
      <c r="M2241" s="70"/>
      <c r="N2241" s="70"/>
    </row>
    <row r="2242" spans="11:14">
      <c r="K2242" s="70"/>
      <c r="L2242" s="70"/>
      <c r="M2242" s="70"/>
      <c r="N2242" s="70"/>
    </row>
    <row r="2243" spans="11:14">
      <c r="K2243" s="70"/>
      <c r="L2243" s="70"/>
      <c r="M2243" s="70"/>
      <c r="N2243" s="70"/>
    </row>
    <row r="2244" spans="11:14">
      <c r="K2244" s="70"/>
      <c r="L2244" s="70"/>
      <c r="M2244" s="70"/>
      <c r="N2244" s="70"/>
    </row>
    <row r="2245" spans="11:14">
      <c r="K2245" s="70"/>
      <c r="L2245" s="70"/>
      <c r="M2245" s="70"/>
      <c r="N2245" s="70"/>
    </row>
    <row r="2246" spans="11:14">
      <c r="K2246" s="70"/>
      <c r="L2246" s="70"/>
      <c r="M2246" s="70"/>
      <c r="N2246" s="70"/>
    </row>
    <row r="2247" spans="11:14">
      <c r="K2247" s="70"/>
      <c r="L2247" s="70"/>
      <c r="M2247" s="70"/>
      <c r="N2247" s="70"/>
    </row>
    <row r="2248" spans="11:14">
      <c r="K2248" s="70"/>
      <c r="L2248" s="70"/>
      <c r="M2248" s="70"/>
      <c r="N2248" s="70"/>
    </row>
    <row r="2249" spans="11:14">
      <c r="K2249" s="70"/>
      <c r="L2249" s="70"/>
      <c r="M2249" s="70"/>
      <c r="N2249" s="70"/>
    </row>
    <row r="2250" spans="11:14">
      <c r="K2250" s="70"/>
      <c r="L2250" s="70"/>
      <c r="M2250" s="70"/>
      <c r="N2250" s="70"/>
    </row>
    <row r="2251" spans="11:14">
      <c r="K2251" s="70"/>
      <c r="L2251" s="70"/>
      <c r="M2251" s="70"/>
      <c r="N2251" s="70"/>
    </row>
    <row r="2252" spans="11:14">
      <c r="K2252" s="70"/>
      <c r="L2252" s="70"/>
      <c r="M2252" s="70"/>
      <c r="N2252" s="70"/>
    </row>
    <row r="2253" spans="11:14">
      <c r="K2253" s="70"/>
      <c r="L2253" s="70"/>
      <c r="M2253" s="70"/>
      <c r="N2253" s="70"/>
    </row>
    <row r="2254" spans="11:14">
      <c r="K2254" s="70"/>
      <c r="L2254" s="70"/>
      <c r="M2254" s="70"/>
      <c r="N2254" s="70"/>
    </row>
    <row r="2255" spans="11:14">
      <c r="K2255" s="70"/>
      <c r="L2255" s="70"/>
      <c r="M2255" s="70"/>
      <c r="N2255" s="70"/>
    </row>
    <row r="2256" spans="11:14">
      <c r="K2256" s="70"/>
      <c r="L2256" s="70"/>
      <c r="M2256" s="70"/>
      <c r="N2256" s="70"/>
    </row>
    <row r="2257" spans="11:14">
      <c r="K2257" s="70"/>
      <c r="L2257" s="70"/>
      <c r="M2257" s="70"/>
      <c r="N2257" s="70"/>
    </row>
    <row r="2258" spans="11:14">
      <c r="K2258" s="70"/>
      <c r="L2258" s="70"/>
      <c r="M2258" s="70"/>
      <c r="N2258" s="70"/>
    </row>
    <row r="2259" spans="11:14">
      <c r="K2259" s="70"/>
      <c r="L2259" s="70"/>
      <c r="M2259" s="70"/>
      <c r="N2259" s="70"/>
    </row>
    <row r="2260" spans="11:14">
      <c r="K2260" s="70"/>
      <c r="L2260" s="70"/>
      <c r="M2260" s="70"/>
      <c r="N2260" s="70"/>
    </row>
    <row r="2261" spans="11:14">
      <c r="K2261" s="70"/>
      <c r="L2261" s="70"/>
      <c r="M2261" s="70"/>
      <c r="N2261" s="70"/>
    </row>
    <row r="2262" spans="11:14">
      <c r="K2262" s="70"/>
      <c r="L2262" s="70"/>
      <c r="M2262" s="70"/>
      <c r="N2262" s="70"/>
    </row>
    <row r="2263" spans="11:14">
      <c r="K2263" s="70"/>
      <c r="L2263" s="70"/>
      <c r="M2263" s="70"/>
      <c r="N2263" s="70"/>
    </row>
    <row r="2264" spans="11:14">
      <c r="K2264" s="70"/>
      <c r="L2264" s="70"/>
      <c r="M2264" s="70"/>
      <c r="N2264" s="70"/>
    </row>
    <row r="2265" spans="11:14">
      <c r="K2265" s="70"/>
      <c r="L2265" s="70"/>
      <c r="M2265" s="70"/>
      <c r="N2265" s="70"/>
    </row>
    <row r="2266" spans="11:14">
      <c r="K2266" s="70"/>
      <c r="L2266" s="70"/>
      <c r="M2266" s="70"/>
      <c r="N2266" s="70"/>
    </row>
    <row r="2267" spans="11:14">
      <c r="K2267" s="70"/>
      <c r="L2267" s="70"/>
      <c r="M2267" s="70"/>
      <c r="N2267" s="70"/>
    </row>
    <row r="2268" spans="11:14">
      <c r="K2268" s="70"/>
      <c r="L2268" s="70"/>
      <c r="M2268" s="70"/>
      <c r="N2268" s="70"/>
    </row>
    <row r="2269" spans="11:14">
      <c r="K2269" s="70"/>
      <c r="L2269" s="70"/>
      <c r="M2269" s="70"/>
      <c r="N2269" s="70"/>
    </row>
    <row r="2270" spans="11:14">
      <c r="K2270" s="70"/>
      <c r="L2270" s="70"/>
      <c r="M2270" s="70"/>
      <c r="N2270" s="70"/>
    </row>
    <row r="2271" spans="11:14">
      <c r="K2271" s="70"/>
      <c r="L2271" s="70"/>
      <c r="M2271" s="70"/>
      <c r="N2271" s="70"/>
    </row>
    <row r="2272" spans="11:14">
      <c r="K2272" s="70"/>
      <c r="L2272" s="70"/>
      <c r="M2272" s="70"/>
      <c r="N2272" s="70"/>
    </row>
    <row r="2273" spans="11:14">
      <c r="K2273" s="70"/>
      <c r="L2273" s="70"/>
      <c r="M2273" s="70"/>
      <c r="N2273" s="70"/>
    </row>
    <row r="2274" spans="11:14">
      <c r="K2274" s="70"/>
      <c r="L2274" s="70"/>
      <c r="M2274" s="70"/>
      <c r="N2274" s="70"/>
    </row>
    <row r="2275" spans="11:14">
      <c r="K2275" s="70"/>
      <c r="L2275" s="70"/>
      <c r="M2275" s="70"/>
      <c r="N2275" s="70"/>
    </row>
    <row r="2276" spans="11:14">
      <c r="K2276" s="70"/>
      <c r="L2276" s="70"/>
      <c r="M2276" s="70"/>
      <c r="N2276" s="70"/>
    </row>
    <row r="2277" spans="11:14">
      <c r="K2277" s="70"/>
      <c r="L2277" s="70"/>
      <c r="M2277" s="70"/>
      <c r="N2277" s="70"/>
    </row>
    <row r="2278" spans="11:14">
      <c r="K2278" s="70"/>
      <c r="L2278" s="70"/>
      <c r="M2278" s="70"/>
      <c r="N2278" s="70"/>
    </row>
    <row r="2279" spans="11:14">
      <c r="K2279" s="70"/>
      <c r="L2279" s="70"/>
      <c r="M2279" s="70"/>
      <c r="N2279" s="70"/>
    </row>
    <row r="2280" spans="11:14">
      <c r="K2280" s="70"/>
      <c r="L2280" s="70"/>
      <c r="M2280" s="70"/>
      <c r="N2280" s="70"/>
    </row>
    <row r="2281" spans="11:14">
      <c r="K2281" s="70"/>
      <c r="L2281" s="70"/>
      <c r="M2281" s="70"/>
      <c r="N2281" s="70"/>
    </row>
    <row r="2282" spans="11:14">
      <c r="K2282" s="70"/>
      <c r="L2282" s="70"/>
      <c r="M2282" s="70"/>
      <c r="N2282" s="70"/>
    </row>
    <row r="2283" spans="11:14">
      <c r="K2283" s="70"/>
      <c r="L2283" s="70"/>
      <c r="M2283" s="70"/>
      <c r="N2283" s="70"/>
    </row>
    <row r="2284" spans="11:14">
      <c r="K2284" s="70"/>
      <c r="L2284" s="70"/>
      <c r="M2284" s="70"/>
      <c r="N2284" s="70"/>
    </row>
    <row r="2285" spans="11:14">
      <c r="K2285" s="70"/>
      <c r="L2285" s="70"/>
      <c r="M2285" s="70"/>
      <c r="N2285" s="70"/>
    </row>
    <row r="2286" spans="11:14">
      <c r="K2286" s="70"/>
      <c r="L2286" s="70"/>
      <c r="M2286" s="70"/>
      <c r="N2286" s="70"/>
    </row>
    <row r="2287" spans="11:14">
      <c r="K2287" s="70"/>
      <c r="L2287" s="70"/>
      <c r="M2287" s="70"/>
      <c r="N2287" s="70"/>
    </row>
    <row r="2288" spans="11:14">
      <c r="K2288" s="70"/>
      <c r="L2288" s="70"/>
      <c r="M2288" s="70"/>
      <c r="N2288" s="70"/>
    </row>
    <row r="2289" spans="11:14">
      <c r="K2289" s="70"/>
      <c r="L2289" s="70"/>
      <c r="M2289" s="70"/>
      <c r="N2289" s="70"/>
    </row>
    <row r="2290" spans="11:14">
      <c r="K2290" s="70"/>
      <c r="L2290" s="70"/>
      <c r="M2290" s="70"/>
      <c r="N2290" s="70"/>
    </row>
    <row r="2291" spans="11:14">
      <c r="K2291" s="70"/>
      <c r="L2291" s="70"/>
      <c r="M2291" s="70"/>
      <c r="N2291" s="70"/>
    </row>
    <row r="2292" spans="11:14">
      <c r="K2292" s="70"/>
      <c r="L2292" s="70"/>
      <c r="M2292" s="70"/>
      <c r="N2292" s="70"/>
    </row>
    <row r="2293" spans="11:14">
      <c r="K2293" s="70"/>
      <c r="L2293" s="70"/>
      <c r="M2293" s="70"/>
      <c r="N2293" s="70"/>
    </row>
    <row r="2294" spans="11:14">
      <c r="K2294" s="70"/>
      <c r="L2294" s="70"/>
      <c r="M2294" s="70"/>
      <c r="N2294" s="70"/>
    </row>
    <row r="2295" spans="11:14">
      <c r="K2295" s="70"/>
      <c r="L2295" s="70"/>
      <c r="M2295" s="70"/>
      <c r="N2295" s="70"/>
    </row>
    <row r="2296" spans="11:14">
      <c r="K2296" s="70"/>
      <c r="L2296" s="70"/>
      <c r="M2296" s="70"/>
      <c r="N2296" s="70"/>
    </row>
    <row r="2297" spans="11:14">
      <c r="K2297" s="70"/>
      <c r="L2297" s="70"/>
      <c r="M2297" s="70"/>
      <c r="N2297" s="70"/>
    </row>
    <row r="2298" spans="11:14">
      <c r="K2298" s="70"/>
      <c r="L2298" s="70"/>
      <c r="M2298" s="70"/>
      <c r="N2298" s="70"/>
    </row>
    <row r="2299" spans="11:14">
      <c r="K2299" s="70"/>
      <c r="L2299" s="70"/>
      <c r="M2299" s="70"/>
      <c r="N2299" s="70"/>
    </row>
    <row r="2300" spans="11:14">
      <c r="K2300" s="70"/>
      <c r="L2300" s="70"/>
      <c r="M2300" s="70"/>
      <c r="N2300" s="70"/>
    </row>
    <row r="2301" spans="11:14">
      <c r="K2301" s="70"/>
      <c r="L2301" s="70"/>
      <c r="M2301" s="70"/>
      <c r="N2301" s="70"/>
    </row>
    <row r="2302" spans="11:14">
      <c r="K2302" s="70"/>
      <c r="L2302" s="70"/>
      <c r="M2302" s="70"/>
      <c r="N2302" s="70"/>
    </row>
    <row r="2303" spans="11:14">
      <c r="K2303" s="70"/>
      <c r="L2303" s="70"/>
      <c r="M2303" s="70"/>
      <c r="N2303" s="70"/>
    </row>
    <row r="2304" spans="11:14">
      <c r="K2304" s="70"/>
      <c r="L2304" s="70"/>
      <c r="M2304" s="70"/>
      <c r="N2304" s="70"/>
    </row>
    <row r="2305" spans="11:14">
      <c r="K2305" s="70"/>
      <c r="L2305" s="70"/>
      <c r="M2305" s="70"/>
      <c r="N2305" s="70"/>
    </row>
    <row r="2306" spans="11:14">
      <c r="K2306" s="70"/>
      <c r="L2306" s="70"/>
      <c r="M2306" s="70"/>
      <c r="N2306" s="70"/>
    </row>
    <row r="2307" spans="11:14">
      <c r="K2307" s="70"/>
      <c r="L2307" s="70"/>
      <c r="M2307" s="70"/>
      <c r="N2307" s="70"/>
    </row>
    <row r="2308" spans="11:14">
      <c r="K2308" s="70"/>
      <c r="L2308" s="70"/>
      <c r="M2308" s="70"/>
      <c r="N2308" s="70"/>
    </row>
    <row r="2309" spans="11:14">
      <c r="K2309" s="70"/>
      <c r="L2309" s="70"/>
      <c r="M2309" s="70"/>
      <c r="N2309" s="70"/>
    </row>
    <row r="2310" spans="11:14">
      <c r="K2310" s="70"/>
      <c r="L2310" s="70"/>
      <c r="M2310" s="70"/>
      <c r="N2310" s="70"/>
    </row>
    <row r="2311" spans="11:14">
      <c r="K2311" s="70"/>
      <c r="L2311" s="70"/>
      <c r="M2311" s="70"/>
      <c r="N2311" s="70"/>
    </row>
    <row r="2312" spans="11:14">
      <c r="K2312" s="70"/>
      <c r="L2312" s="70"/>
      <c r="M2312" s="70"/>
      <c r="N2312" s="70"/>
    </row>
    <row r="2313" spans="11:14">
      <c r="K2313" s="70"/>
      <c r="L2313" s="70"/>
      <c r="M2313" s="70"/>
      <c r="N2313" s="70"/>
    </row>
    <row r="2314" spans="11:14">
      <c r="K2314" s="70"/>
      <c r="L2314" s="70"/>
      <c r="M2314" s="70"/>
      <c r="N2314" s="70"/>
    </row>
    <row r="2315" spans="11:14">
      <c r="K2315" s="70"/>
      <c r="L2315" s="70"/>
      <c r="M2315" s="70"/>
      <c r="N2315" s="70"/>
    </row>
    <row r="2316" spans="11:14">
      <c r="K2316" s="70"/>
      <c r="L2316" s="70"/>
      <c r="M2316" s="70"/>
      <c r="N2316" s="70"/>
    </row>
    <row r="2317" spans="11:14">
      <c r="K2317" s="70"/>
      <c r="L2317" s="70"/>
      <c r="M2317" s="70"/>
      <c r="N2317" s="70"/>
    </row>
    <row r="2318" spans="11:14">
      <c r="K2318" s="70"/>
      <c r="L2318" s="70"/>
      <c r="M2318" s="70"/>
      <c r="N2318" s="70"/>
    </row>
    <row r="2319" spans="11:14">
      <c r="K2319" s="70"/>
      <c r="L2319" s="70"/>
      <c r="M2319" s="70"/>
      <c r="N2319" s="70"/>
    </row>
    <row r="2320" spans="11:14">
      <c r="K2320" s="70"/>
      <c r="L2320" s="70"/>
      <c r="M2320" s="70"/>
      <c r="N2320" s="70"/>
    </row>
    <row r="2321" spans="11:14">
      <c r="K2321" s="70"/>
      <c r="L2321" s="70"/>
      <c r="M2321" s="70"/>
      <c r="N2321" s="70"/>
    </row>
    <row r="2322" spans="11:14">
      <c r="K2322" s="70"/>
      <c r="L2322" s="70"/>
      <c r="M2322" s="70"/>
      <c r="N2322" s="70"/>
    </row>
    <row r="2323" spans="11:14">
      <c r="K2323" s="70"/>
      <c r="L2323" s="70"/>
      <c r="M2323" s="70"/>
      <c r="N2323" s="70"/>
    </row>
    <row r="2324" spans="11:14">
      <c r="K2324" s="70"/>
      <c r="L2324" s="70"/>
      <c r="M2324" s="70"/>
      <c r="N2324" s="70"/>
    </row>
    <row r="2325" spans="11:14">
      <c r="K2325" s="70"/>
      <c r="L2325" s="70"/>
      <c r="M2325" s="70"/>
      <c r="N2325" s="70"/>
    </row>
    <row r="2326" spans="11:14">
      <c r="K2326" s="70"/>
      <c r="L2326" s="70"/>
      <c r="M2326" s="70"/>
      <c r="N2326" s="70"/>
    </row>
    <row r="2327" spans="11:14">
      <c r="K2327" s="70"/>
      <c r="L2327" s="70"/>
      <c r="M2327" s="70"/>
      <c r="N2327" s="70"/>
    </row>
    <row r="2328" spans="11:14">
      <c r="K2328" s="70"/>
      <c r="L2328" s="70"/>
      <c r="M2328" s="70"/>
      <c r="N2328" s="70"/>
    </row>
    <row r="2329" spans="11:14">
      <c r="K2329" s="70"/>
      <c r="L2329" s="70"/>
      <c r="M2329" s="70"/>
      <c r="N2329" s="70"/>
    </row>
    <row r="2330" spans="11:14">
      <c r="K2330" s="70"/>
      <c r="L2330" s="70"/>
      <c r="M2330" s="70"/>
      <c r="N2330" s="70"/>
    </row>
    <row r="2331" spans="11:14">
      <c r="K2331" s="70"/>
      <c r="L2331" s="70"/>
      <c r="M2331" s="70"/>
      <c r="N2331" s="70"/>
    </row>
    <row r="2332" spans="11:14">
      <c r="K2332" s="70"/>
      <c r="L2332" s="70"/>
      <c r="M2332" s="70"/>
      <c r="N2332" s="70"/>
    </row>
    <row r="2333" spans="11:14">
      <c r="K2333" s="70"/>
      <c r="L2333" s="70"/>
      <c r="M2333" s="70"/>
      <c r="N2333" s="70"/>
    </row>
    <row r="2334" spans="11:14">
      <c r="K2334" s="70"/>
      <c r="L2334" s="70"/>
      <c r="M2334" s="70"/>
      <c r="N2334" s="70"/>
    </row>
    <row r="2335" spans="11:14">
      <c r="K2335" s="70"/>
      <c r="L2335" s="70"/>
      <c r="M2335" s="70"/>
      <c r="N2335" s="70"/>
    </row>
    <row r="2336" spans="11:14">
      <c r="K2336" s="70"/>
      <c r="L2336" s="70"/>
      <c r="M2336" s="70"/>
      <c r="N2336" s="70"/>
    </row>
    <row r="2337" spans="11:14">
      <c r="K2337" s="70"/>
      <c r="L2337" s="70"/>
      <c r="M2337" s="70"/>
      <c r="N2337" s="70"/>
    </row>
    <row r="2338" spans="11:14">
      <c r="K2338" s="70"/>
      <c r="L2338" s="70"/>
      <c r="M2338" s="70"/>
      <c r="N2338" s="70"/>
    </row>
    <row r="2339" spans="11:14">
      <c r="K2339" s="70"/>
      <c r="L2339" s="70"/>
      <c r="M2339" s="70"/>
      <c r="N2339" s="70"/>
    </row>
    <row r="2340" spans="11:14">
      <c r="K2340" s="70"/>
      <c r="L2340" s="70"/>
      <c r="M2340" s="70"/>
      <c r="N2340" s="70"/>
    </row>
    <row r="2341" spans="11:14">
      <c r="K2341" s="70"/>
      <c r="L2341" s="70"/>
      <c r="M2341" s="70"/>
      <c r="N2341" s="70"/>
    </row>
    <row r="2342" spans="11:14">
      <c r="K2342" s="70"/>
      <c r="L2342" s="70"/>
      <c r="M2342" s="70"/>
      <c r="N2342" s="70"/>
    </row>
    <row r="2343" spans="11:14">
      <c r="K2343" s="70"/>
      <c r="L2343" s="70"/>
      <c r="M2343" s="70"/>
      <c r="N2343" s="70"/>
    </row>
    <row r="2344" spans="11:14">
      <c r="K2344" s="70"/>
      <c r="L2344" s="70"/>
      <c r="M2344" s="70"/>
      <c r="N2344" s="70"/>
    </row>
    <row r="2345" spans="11:14">
      <c r="K2345" s="70"/>
      <c r="L2345" s="70"/>
      <c r="M2345" s="70"/>
      <c r="N2345" s="70"/>
    </row>
    <row r="2346" spans="11:14">
      <c r="K2346" s="70"/>
      <c r="L2346" s="70"/>
      <c r="M2346" s="70"/>
      <c r="N2346" s="70"/>
    </row>
    <row r="2347" spans="11:14">
      <c r="K2347" s="70"/>
      <c r="L2347" s="70"/>
      <c r="M2347" s="70"/>
      <c r="N2347" s="70"/>
    </row>
    <row r="2348" spans="11:14">
      <c r="K2348" s="70"/>
      <c r="L2348" s="70"/>
      <c r="M2348" s="70"/>
      <c r="N2348" s="70"/>
    </row>
    <row r="2349" spans="11:14">
      <c r="K2349" s="70"/>
      <c r="L2349" s="70"/>
      <c r="M2349" s="70"/>
      <c r="N2349" s="70"/>
    </row>
    <row r="2350" spans="11:14">
      <c r="K2350" s="70"/>
      <c r="L2350" s="70"/>
      <c r="M2350" s="70"/>
      <c r="N2350" s="70"/>
    </row>
    <row r="2351" spans="11:14">
      <c r="K2351" s="70"/>
      <c r="L2351" s="70"/>
      <c r="M2351" s="70"/>
      <c r="N2351" s="70"/>
    </row>
    <row r="2352" spans="11:14">
      <c r="K2352" s="70"/>
      <c r="L2352" s="70"/>
      <c r="M2352" s="70"/>
      <c r="N2352" s="70"/>
    </row>
    <row r="2353" spans="11:14">
      <c r="K2353" s="70"/>
      <c r="L2353" s="70"/>
      <c r="M2353" s="70"/>
      <c r="N2353" s="70"/>
    </row>
    <row r="2354" spans="11:14">
      <c r="K2354" s="70"/>
      <c r="L2354" s="70"/>
      <c r="M2354" s="70"/>
      <c r="N2354" s="70"/>
    </row>
    <row r="2355" spans="11:14">
      <c r="K2355" s="70"/>
      <c r="L2355" s="70"/>
      <c r="M2355" s="70"/>
      <c r="N2355" s="70"/>
    </row>
    <row r="2356" spans="11:14">
      <c r="K2356" s="70"/>
      <c r="L2356" s="70"/>
      <c r="M2356" s="70"/>
      <c r="N2356" s="70"/>
    </row>
    <row r="2357" spans="11:14">
      <c r="K2357" s="70"/>
      <c r="L2357" s="70"/>
      <c r="M2357" s="70"/>
      <c r="N2357" s="70"/>
    </row>
    <row r="2358" spans="11:14">
      <c r="K2358" s="70"/>
      <c r="L2358" s="70"/>
      <c r="M2358" s="70"/>
      <c r="N2358" s="70"/>
    </row>
    <row r="2359" spans="11:14">
      <c r="K2359" s="70"/>
      <c r="L2359" s="70"/>
      <c r="M2359" s="70"/>
      <c r="N2359" s="70"/>
    </row>
    <row r="2360" spans="11:14">
      <c r="K2360" s="70"/>
      <c r="L2360" s="70"/>
      <c r="M2360" s="70"/>
      <c r="N2360" s="70"/>
    </row>
    <row r="2361" spans="11:14">
      <c r="K2361" s="70"/>
      <c r="L2361" s="70"/>
      <c r="M2361" s="70"/>
      <c r="N2361" s="70"/>
    </row>
    <row r="2362" spans="11:14">
      <c r="K2362" s="70"/>
      <c r="L2362" s="70"/>
      <c r="M2362" s="70"/>
      <c r="N2362" s="70"/>
    </row>
    <row r="2363" spans="11:14">
      <c r="K2363" s="70"/>
      <c r="L2363" s="70"/>
      <c r="M2363" s="70"/>
      <c r="N2363" s="70"/>
    </row>
    <row r="2364" spans="11:14">
      <c r="K2364" s="70"/>
      <c r="L2364" s="70"/>
      <c r="M2364" s="70"/>
      <c r="N2364" s="70"/>
    </row>
    <row r="2365" spans="11:14">
      <c r="K2365" s="70"/>
      <c r="L2365" s="70"/>
      <c r="M2365" s="70"/>
      <c r="N2365" s="70"/>
    </row>
    <row r="2366" spans="11:14">
      <c r="K2366" s="70"/>
      <c r="L2366" s="70"/>
      <c r="M2366" s="70"/>
      <c r="N2366" s="70"/>
    </row>
    <row r="2367" spans="11:14">
      <c r="K2367" s="70"/>
      <c r="L2367" s="70"/>
      <c r="M2367" s="70"/>
      <c r="N2367" s="70"/>
    </row>
    <row r="2368" spans="11:14">
      <c r="K2368" s="70"/>
      <c r="L2368" s="70"/>
      <c r="M2368" s="70"/>
      <c r="N2368" s="70"/>
    </row>
    <row r="2369" spans="11:14">
      <c r="K2369" s="70"/>
      <c r="L2369" s="70"/>
      <c r="M2369" s="70"/>
      <c r="N2369" s="70"/>
    </row>
    <row r="2370" spans="11:14">
      <c r="K2370" s="70"/>
      <c r="L2370" s="70"/>
      <c r="M2370" s="70"/>
      <c r="N2370" s="70"/>
    </row>
    <row r="2371" spans="11:14">
      <c r="K2371" s="70"/>
      <c r="L2371" s="70"/>
      <c r="M2371" s="70"/>
      <c r="N2371" s="70"/>
    </row>
    <row r="2372" spans="11:14">
      <c r="K2372" s="70"/>
      <c r="L2372" s="70"/>
      <c r="M2372" s="70"/>
      <c r="N2372" s="70"/>
    </row>
    <row r="2373" spans="11:14">
      <c r="K2373" s="70"/>
      <c r="L2373" s="70"/>
      <c r="M2373" s="70"/>
      <c r="N2373" s="70"/>
    </row>
    <row r="2374" spans="11:14">
      <c r="K2374" s="70"/>
      <c r="L2374" s="70"/>
      <c r="M2374" s="70"/>
      <c r="N2374" s="70"/>
    </row>
    <row r="2375" spans="11:14">
      <c r="K2375" s="70"/>
      <c r="L2375" s="70"/>
      <c r="M2375" s="70"/>
      <c r="N2375" s="70"/>
    </row>
    <row r="2376" spans="11:14">
      <c r="K2376" s="70"/>
      <c r="L2376" s="70"/>
      <c r="M2376" s="70"/>
      <c r="N2376" s="70"/>
    </row>
    <row r="2377" spans="11:14">
      <c r="K2377" s="70"/>
      <c r="L2377" s="70"/>
      <c r="M2377" s="70"/>
      <c r="N2377" s="70"/>
    </row>
    <row r="2378" spans="11:14">
      <c r="K2378" s="70"/>
      <c r="L2378" s="70"/>
      <c r="M2378" s="70"/>
      <c r="N2378" s="70"/>
    </row>
    <row r="2379" spans="11:14">
      <c r="K2379" s="70"/>
      <c r="L2379" s="70"/>
      <c r="M2379" s="70"/>
      <c r="N2379" s="70"/>
    </row>
    <row r="2380" spans="11:14">
      <c r="K2380" s="70"/>
      <c r="L2380" s="70"/>
      <c r="M2380" s="70"/>
      <c r="N2380" s="70"/>
    </row>
    <row r="2381" spans="11:14">
      <c r="K2381" s="70"/>
      <c r="L2381" s="70"/>
      <c r="M2381" s="70"/>
      <c r="N2381" s="70"/>
    </row>
    <row r="2382" spans="11:14">
      <c r="K2382" s="70"/>
      <c r="L2382" s="70"/>
      <c r="M2382" s="70"/>
      <c r="N2382" s="70"/>
    </row>
    <row r="2383" spans="11:14">
      <c r="K2383" s="70"/>
      <c r="L2383" s="70"/>
      <c r="M2383" s="70"/>
      <c r="N2383" s="70"/>
    </row>
    <row r="2384" spans="11:14">
      <c r="K2384" s="70"/>
      <c r="L2384" s="70"/>
      <c r="M2384" s="70"/>
      <c r="N2384" s="70"/>
    </row>
    <row r="2385" spans="11:14">
      <c r="K2385" s="70"/>
      <c r="L2385" s="70"/>
      <c r="M2385" s="70"/>
      <c r="N2385" s="70"/>
    </row>
    <row r="2386" spans="11:14">
      <c r="K2386" s="70"/>
      <c r="L2386" s="70"/>
      <c r="M2386" s="70"/>
      <c r="N2386" s="70"/>
    </row>
    <row r="2387" spans="11:14">
      <c r="K2387" s="70"/>
      <c r="L2387" s="70"/>
      <c r="M2387" s="70"/>
      <c r="N2387" s="70"/>
    </row>
    <row r="2388" spans="11:14">
      <c r="K2388" s="70"/>
      <c r="L2388" s="70"/>
      <c r="M2388" s="70"/>
      <c r="N2388" s="70"/>
    </row>
    <row r="2389" spans="11:14">
      <c r="K2389" s="70"/>
      <c r="L2389" s="70"/>
      <c r="M2389" s="70"/>
      <c r="N2389" s="70"/>
    </row>
    <row r="2390" spans="11:14">
      <c r="K2390" s="70"/>
      <c r="L2390" s="70"/>
      <c r="M2390" s="70"/>
      <c r="N2390" s="70"/>
    </row>
    <row r="2391" spans="11:14">
      <c r="K2391" s="70"/>
      <c r="L2391" s="70"/>
      <c r="M2391" s="70"/>
      <c r="N2391" s="70"/>
    </row>
    <row r="2392" spans="11:14">
      <c r="K2392" s="70"/>
      <c r="L2392" s="70"/>
      <c r="M2392" s="70"/>
      <c r="N2392" s="70"/>
    </row>
    <row r="2393" spans="11:14">
      <c r="K2393" s="70"/>
      <c r="L2393" s="70"/>
      <c r="M2393" s="70"/>
      <c r="N2393" s="70"/>
    </row>
    <row r="2394" spans="11:14">
      <c r="K2394" s="70"/>
      <c r="L2394" s="70"/>
      <c r="M2394" s="70"/>
      <c r="N2394" s="70"/>
    </row>
    <row r="2395" spans="11:14">
      <c r="K2395" s="70"/>
      <c r="L2395" s="70"/>
      <c r="M2395" s="70"/>
      <c r="N2395" s="70"/>
    </row>
    <row r="2396" spans="11:14">
      <c r="K2396" s="70"/>
      <c r="L2396" s="70"/>
      <c r="M2396" s="70"/>
      <c r="N2396" s="70"/>
    </row>
    <row r="2397" spans="11:14">
      <c r="K2397" s="70"/>
      <c r="L2397" s="70"/>
      <c r="M2397" s="70"/>
      <c r="N2397" s="70"/>
    </row>
    <row r="2398" spans="11:14">
      <c r="K2398" s="70"/>
      <c r="L2398" s="70"/>
      <c r="M2398" s="70"/>
      <c r="N2398" s="70"/>
    </row>
    <row r="2399" spans="11:14">
      <c r="K2399" s="70"/>
      <c r="L2399" s="70"/>
      <c r="M2399" s="70"/>
      <c r="N2399" s="70"/>
    </row>
    <row r="2400" spans="11:14">
      <c r="K2400" s="70"/>
      <c r="L2400" s="70"/>
      <c r="M2400" s="70"/>
      <c r="N2400" s="70"/>
    </row>
    <row r="2401" spans="11:14">
      <c r="K2401" s="70"/>
      <c r="L2401" s="70"/>
      <c r="M2401" s="70"/>
      <c r="N2401" s="70"/>
    </row>
    <row r="2402" spans="11:14">
      <c r="K2402" s="70"/>
      <c r="L2402" s="70"/>
      <c r="M2402" s="70"/>
      <c r="N2402" s="70"/>
    </row>
    <row r="2403" spans="11:14">
      <c r="K2403" s="70"/>
      <c r="L2403" s="70"/>
      <c r="M2403" s="70"/>
      <c r="N2403" s="70"/>
    </row>
    <row r="2404" spans="11:14">
      <c r="K2404" s="70"/>
      <c r="L2404" s="70"/>
      <c r="M2404" s="70"/>
      <c r="N2404" s="70"/>
    </row>
    <row r="2405" spans="11:14">
      <c r="K2405" s="70"/>
      <c r="L2405" s="70"/>
      <c r="M2405" s="70"/>
      <c r="N2405" s="70"/>
    </row>
    <row r="2406" spans="11:14">
      <c r="K2406" s="70"/>
      <c r="L2406" s="70"/>
      <c r="M2406" s="70"/>
      <c r="N2406" s="70"/>
    </row>
    <row r="2407" spans="11:14">
      <c r="K2407" s="70"/>
      <c r="L2407" s="70"/>
      <c r="M2407" s="70"/>
      <c r="N2407" s="70"/>
    </row>
    <row r="2408" spans="11:14">
      <c r="K2408" s="70"/>
      <c r="L2408" s="70"/>
      <c r="M2408" s="70"/>
      <c r="N2408" s="70"/>
    </row>
    <row r="2409" spans="11:14">
      <c r="K2409" s="70"/>
      <c r="L2409" s="70"/>
      <c r="M2409" s="70"/>
      <c r="N2409" s="70"/>
    </row>
    <row r="2410" spans="11:14">
      <c r="K2410" s="70"/>
      <c r="L2410" s="70"/>
      <c r="M2410" s="70"/>
      <c r="N2410" s="70"/>
    </row>
    <row r="2411" spans="11:14">
      <c r="K2411" s="70"/>
      <c r="L2411" s="70"/>
      <c r="M2411" s="70"/>
      <c r="N2411" s="70"/>
    </row>
    <row r="2412" spans="11:14">
      <c r="K2412" s="70"/>
      <c r="L2412" s="70"/>
      <c r="M2412" s="70"/>
      <c r="N2412" s="70"/>
    </row>
    <row r="2413" spans="11:14">
      <c r="K2413" s="70"/>
      <c r="L2413" s="70"/>
      <c r="M2413" s="70"/>
      <c r="N2413" s="70"/>
    </row>
    <row r="2414" spans="11:14">
      <c r="K2414" s="70"/>
      <c r="L2414" s="70"/>
      <c r="M2414" s="70"/>
      <c r="N2414" s="70"/>
    </row>
    <row r="2415" spans="11:14">
      <c r="K2415" s="70"/>
      <c r="L2415" s="70"/>
      <c r="M2415" s="70"/>
      <c r="N2415" s="70"/>
    </row>
    <row r="2416" spans="11:14">
      <c r="K2416" s="70"/>
      <c r="L2416" s="70"/>
      <c r="M2416" s="70"/>
      <c r="N2416" s="70"/>
    </row>
    <row r="2417" spans="11:14">
      <c r="K2417" s="70"/>
      <c r="L2417" s="70"/>
      <c r="M2417" s="70"/>
      <c r="N2417" s="70"/>
    </row>
    <row r="2418" spans="11:14">
      <c r="K2418" s="70"/>
      <c r="L2418" s="70"/>
      <c r="M2418" s="70"/>
      <c r="N2418" s="70"/>
    </row>
    <row r="2419" spans="11:14">
      <c r="K2419" s="70"/>
      <c r="L2419" s="70"/>
      <c r="M2419" s="70"/>
      <c r="N2419" s="70"/>
    </row>
    <row r="2420" spans="11:14">
      <c r="K2420" s="70"/>
      <c r="L2420" s="70"/>
      <c r="M2420" s="70"/>
      <c r="N2420" s="70"/>
    </row>
    <row r="2421" spans="11:14">
      <c r="K2421" s="70"/>
      <c r="L2421" s="70"/>
      <c r="M2421" s="70"/>
      <c r="N2421" s="70"/>
    </row>
    <row r="2422" spans="11:14">
      <c r="K2422" s="70"/>
      <c r="L2422" s="70"/>
      <c r="M2422" s="70"/>
      <c r="N2422" s="70"/>
    </row>
    <row r="2423" spans="11:14">
      <c r="K2423" s="70"/>
      <c r="L2423" s="70"/>
      <c r="M2423" s="70"/>
      <c r="N2423" s="70"/>
    </row>
    <row r="2424" spans="11:14">
      <c r="K2424" s="70"/>
      <c r="L2424" s="70"/>
      <c r="M2424" s="70"/>
      <c r="N2424" s="70"/>
    </row>
    <row r="2425" spans="11:14">
      <c r="K2425" s="70"/>
      <c r="L2425" s="70"/>
      <c r="M2425" s="70"/>
      <c r="N2425" s="70"/>
    </row>
    <row r="2426" spans="11:14">
      <c r="K2426" s="70"/>
      <c r="L2426" s="70"/>
      <c r="M2426" s="70"/>
      <c r="N2426" s="70"/>
    </row>
    <row r="2427" spans="11:14">
      <c r="K2427" s="70"/>
      <c r="L2427" s="70"/>
      <c r="M2427" s="70"/>
      <c r="N2427" s="70"/>
    </row>
    <row r="2428" spans="11:14">
      <c r="K2428" s="70"/>
      <c r="L2428" s="70"/>
      <c r="M2428" s="70"/>
      <c r="N2428" s="70"/>
    </row>
    <row r="2429" spans="11:14">
      <c r="K2429" s="70"/>
      <c r="L2429" s="70"/>
      <c r="M2429" s="70"/>
      <c r="N2429" s="70"/>
    </row>
    <row r="2430" spans="11:14">
      <c r="K2430" s="70"/>
      <c r="L2430" s="70"/>
      <c r="M2430" s="70"/>
      <c r="N2430" s="70"/>
    </row>
    <row r="2431" spans="11:14">
      <c r="K2431" s="70"/>
      <c r="L2431" s="70"/>
      <c r="M2431" s="70"/>
      <c r="N2431" s="70"/>
    </row>
    <row r="2432" spans="11:14">
      <c r="K2432" s="70"/>
      <c r="L2432" s="70"/>
      <c r="M2432" s="70"/>
      <c r="N2432" s="70"/>
    </row>
    <row r="2433" spans="11:14">
      <c r="K2433" s="70"/>
      <c r="L2433" s="70"/>
      <c r="M2433" s="70"/>
      <c r="N2433" s="70"/>
    </row>
    <row r="2434" spans="11:14">
      <c r="K2434" s="70"/>
      <c r="L2434" s="70"/>
      <c r="M2434" s="70"/>
      <c r="N2434" s="70"/>
    </row>
    <row r="2435" spans="11:14">
      <c r="K2435" s="70"/>
      <c r="L2435" s="70"/>
      <c r="M2435" s="70"/>
      <c r="N2435" s="70"/>
    </row>
    <row r="2436" spans="11:14">
      <c r="K2436" s="70"/>
      <c r="L2436" s="70"/>
      <c r="M2436" s="70"/>
      <c r="N2436" s="70"/>
    </row>
    <row r="2437" spans="11:14">
      <c r="K2437" s="70"/>
      <c r="L2437" s="70"/>
      <c r="M2437" s="70"/>
      <c r="N2437" s="70"/>
    </row>
    <row r="2438" spans="11:14">
      <c r="K2438" s="70"/>
      <c r="L2438" s="70"/>
      <c r="M2438" s="70"/>
      <c r="N2438" s="70"/>
    </row>
    <row r="2439" spans="11:14">
      <c r="K2439" s="70"/>
      <c r="L2439" s="70"/>
      <c r="M2439" s="70"/>
      <c r="N2439" s="70"/>
    </row>
    <row r="2440" spans="11:14">
      <c r="K2440" s="70"/>
      <c r="L2440" s="70"/>
      <c r="M2440" s="70"/>
      <c r="N2440" s="70"/>
    </row>
    <row r="2441" spans="11:14">
      <c r="K2441" s="70"/>
      <c r="L2441" s="70"/>
      <c r="M2441" s="70"/>
      <c r="N2441" s="70"/>
    </row>
    <row r="2442" spans="11:14">
      <c r="K2442" s="70"/>
      <c r="L2442" s="70"/>
      <c r="M2442" s="70"/>
      <c r="N2442" s="70"/>
    </row>
    <row r="2443" spans="11:14">
      <c r="K2443" s="70"/>
      <c r="L2443" s="70"/>
      <c r="M2443" s="70"/>
      <c r="N2443" s="70"/>
    </row>
    <row r="2444" spans="11:14">
      <c r="K2444" s="70"/>
      <c r="L2444" s="70"/>
      <c r="M2444" s="70"/>
      <c r="N2444" s="70"/>
    </row>
    <row r="2445" spans="11:14">
      <c r="K2445" s="70"/>
      <c r="L2445" s="70"/>
      <c r="M2445" s="70"/>
      <c r="N2445" s="70"/>
    </row>
    <row r="2446" spans="11:14">
      <c r="K2446" s="70"/>
      <c r="L2446" s="70"/>
      <c r="M2446" s="70"/>
      <c r="N2446" s="70"/>
    </row>
    <row r="2447" spans="11:14">
      <c r="K2447" s="70"/>
      <c r="L2447" s="70"/>
      <c r="M2447" s="70"/>
      <c r="N2447" s="70"/>
    </row>
    <row r="2448" spans="11:14">
      <c r="K2448" s="70"/>
      <c r="L2448" s="70"/>
      <c r="M2448" s="70"/>
      <c r="N2448" s="70"/>
    </row>
    <row r="2449" spans="11:14">
      <c r="K2449" s="70"/>
      <c r="L2449" s="70"/>
      <c r="M2449" s="70"/>
      <c r="N2449" s="70"/>
    </row>
    <row r="2450" spans="11:14">
      <c r="K2450" s="70"/>
      <c r="L2450" s="70"/>
      <c r="M2450" s="70"/>
      <c r="N2450" s="70"/>
    </row>
    <row r="2451" spans="11:14">
      <c r="K2451" s="70"/>
      <c r="L2451" s="70"/>
      <c r="M2451" s="70"/>
      <c r="N2451" s="70"/>
    </row>
    <row r="2452" spans="11:14">
      <c r="K2452" s="70"/>
      <c r="L2452" s="70"/>
      <c r="M2452" s="70"/>
      <c r="N2452" s="70"/>
    </row>
    <row r="2453" spans="11:14">
      <c r="K2453" s="70"/>
      <c r="L2453" s="70"/>
      <c r="M2453" s="70"/>
      <c r="N2453" s="70"/>
    </row>
    <row r="2454" spans="11:14">
      <c r="K2454" s="70"/>
      <c r="L2454" s="70"/>
      <c r="M2454" s="70"/>
      <c r="N2454" s="70"/>
    </row>
    <row r="2455" spans="11:14">
      <c r="K2455" s="70"/>
      <c r="L2455" s="70"/>
      <c r="M2455" s="70"/>
      <c r="N2455" s="70"/>
    </row>
    <row r="2456" spans="11:14">
      <c r="K2456" s="70"/>
      <c r="L2456" s="70"/>
      <c r="M2456" s="70"/>
      <c r="N2456" s="70"/>
    </row>
    <row r="2457" spans="11:14">
      <c r="K2457" s="70"/>
      <c r="L2457" s="70"/>
      <c r="M2457" s="70"/>
      <c r="N2457" s="70"/>
    </row>
    <row r="2458" spans="11:14">
      <c r="K2458" s="70"/>
      <c r="L2458" s="70"/>
      <c r="M2458" s="70"/>
      <c r="N2458" s="70"/>
    </row>
    <row r="2459" spans="11:14">
      <c r="K2459" s="70"/>
      <c r="L2459" s="70"/>
      <c r="M2459" s="70"/>
      <c r="N2459" s="70"/>
    </row>
    <row r="2460" spans="11:14">
      <c r="K2460" s="70"/>
      <c r="L2460" s="70"/>
      <c r="M2460" s="70"/>
      <c r="N2460" s="70"/>
    </row>
    <row r="2461" spans="11:14">
      <c r="K2461" s="70"/>
      <c r="L2461" s="70"/>
      <c r="M2461" s="70"/>
      <c r="N2461" s="70"/>
    </row>
    <row r="2462" spans="11:14">
      <c r="K2462" s="70"/>
      <c r="L2462" s="70"/>
      <c r="M2462" s="70"/>
      <c r="N2462" s="70"/>
    </row>
    <row r="2463" spans="11:14">
      <c r="K2463" s="70"/>
      <c r="L2463" s="70"/>
      <c r="M2463" s="70"/>
      <c r="N2463" s="70"/>
    </row>
    <row r="2464" spans="11:14">
      <c r="K2464" s="70"/>
      <c r="L2464" s="70"/>
      <c r="M2464" s="70"/>
      <c r="N2464" s="70"/>
    </row>
    <row r="2465" spans="11:14">
      <c r="K2465" s="70"/>
      <c r="L2465" s="70"/>
      <c r="M2465" s="70"/>
      <c r="N2465" s="70"/>
    </row>
    <row r="2466" spans="11:14">
      <c r="K2466" s="70"/>
      <c r="L2466" s="70"/>
      <c r="M2466" s="70"/>
      <c r="N2466" s="70"/>
    </row>
    <row r="2467" spans="11:14">
      <c r="K2467" s="70"/>
      <c r="L2467" s="70"/>
      <c r="M2467" s="70"/>
      <c r="N2467" s="70"/>
    </row>
    <row r="2468" spans="11:14">
      <c r="K2468" s="70"/>
      <c r="L2468" s="70"/>
      <c r="M2468" s="70"/>
      <c r="N2468" s="70"/>
    </row>
    <row r="2469" spans="11:14">
      <c r="K2469" s="70"/>
      <c r="L2469" s="70"/>
      <c r="M2469" s="70"/>
      <c r="N2469" s="70"/>
    </row>
    <row r="2470" spans="11:14">
      <c r="K2470" s="70"/>
      <c r="L2470" s="70"/>
      <c r="M2470" s="70"/>
      <c r="N2470" s="70"/>
    </row>
    <row r="2471" spans="11:14">
      <c r="K2471" s="70"/>
      <c r="L2471" s="70"/>
      <c r="M2471" s="70"/>
      <c r="N2471" s="70"/>
    </row>
    <row r="2472" spans="11:14">
      <c r="K2472" s="70"/>
      <c r="L2472" s="70"/>
      <c r="M2472" s="70"/>
      <c r="N2472" s="70"/>
    </row>
    <row r="2473" spans="11:14">
      <c r="K2473" s="70"/>
      <c r="L2473" s="70"/>
      <c r="M2473" s="70"/>
      <c r="N2473" s="70"/>
    </row>
    <row r="2474" spans="11:14">
      <c r="K2474" s="70"/>
      <c r="L2474" s="70"/>
      <c r="M2474" s="70"/>
      <c r="N2474" s="70"/>
    </row>
    <row r="2475" spans="11:14">
      <c r="K2475" s="70"/>
      <c r="L2475" s="70"/>
      <c r="M2475" s="70"/>
      <c r="N2475" s="70"/>
    </row>
    <row r="2476" spans="11:14">
      <c r="K2476" s="70"/>
      <c r="L2476" s="70"/>
      <c r="M2476" s="70"/>
      <c r="N2476" s="70"/>
    </row>
    <row r="2477" spans="11:14">
      <c r="K2477" s="70"/>
      <c r="L2477" s="70"/>
      <c r="M2477" s="70"/>
      <c r="N2477" s="70"/>
    </row>
    <row r="2478" spans="11:14">
      <c r="K2478" s="70"/>
      <c r="L2478" s="70"/>
      <c r="M2478" s="70"/>
      <c r="N2478" s="70"/>
    </row>
    <row r="2479" spans="11:14">
      <c r="K2479" s="70"/>
      <c r="L2479" s="70"/>
      <c r="M2479" s="70"/>
      <c r="N2479" s="70"/>
    </row>
    <row r="2480" spans="11:14">
      <c r="K2480" s="70"/>
      <c r="L2480" s="70"/>
      <c r="M2480" s="70"/>
      <c r="N2480" s="70"/>
    </row>
    <row r="2481" spans="11:14">
      <c r="K2481" s="70"/>
      <c r="L2481" s="70"/>
      <c r="M2481" s="70"/>
      <c r="N2481" s="70"/>
    </row>
    <row r="2482" spans="11:14">
      <c r="K2482" s="70"/>
      <c r="L2482" s="70"/>
      <c r="M2482" s="70"/>
      <c r="N2482" s="70"/>
    </row>
    <row r="2483" spans="11:14">
      <c r="K2483" s="70"/>
      <c r="L2483" s="70"/>
      <c r="M2483" s="70"/>
      <c r="N2483" s="70"/>
    </row>
    <row r="2484" spans="11:14">
      <c r="K2484" s="70"/>
      <c r="L2484" s="70"/>
      <c r="M2484" s="70"/>
      <c r="N2484" s="70"/>
    </row>
    <row r="2485" spans="11:14">
      <c r="K2485" s="70"/>
      <c r="L2485" s="70"/>
      <c r="M2485" s="70"/>
      <c r="N2485" s="70"/>
    </row>
    <row r="2486" spans="11:14">
      <c r="K2486" s="70"/>
      <c r="L2486" s="70"/>
      <c r="M2486" s="70"/>
      <c r="N2486" s="70"/>
    </row>
    <row r="2487" spans="11:14">
      <c r="K2487" s="70"/>
      <c r="L2487" s="70"/>
      <c r="M2487" s="70"/>
      <c r="N2487" s="70"/>
    </row>
    <row r="2488" spans="11:14">
      <c r="K2488" s="70"/>
      <c r="L2488" s="70"/>
      <c r="M2488" s="70"/>
      <c r="N2488" s="70"/>
    </row>
    <row r="2489" spans="11:14">
      <c r="K2489" s="70"/>
      <c r="L2489" s="70"/>
      <c r="M2489" s="70"/>
      <c r="N2489" s="70"/>
    </row>
    <row r="2490" spans="11:14">
      <c r="K2490" s="70"/>
      <c r="L2490" s="70"/>
      <c r="M2490" s="70"/>
      <c r="N2490" s="70"/>
    </row>
    <row r="2491" spans="11:14">
      <c r="K2491" s="70"/>
      <c r="L2491" s="70"/>
      <c r="M2491" s="70"/>
      <c r="N2491" s="70"/>
    </row>
    <row r="2492" spans="11:14">
      <c r="K2492" s="70"/>
      <c r="L2492" s="70"/>
      <c r="M2492" s="70"/>
      <c r="N2492" s="70"/>
    </row>
    <row r="2493" spans="11:14">
      <c r="K2493" s="70"/>
      <c r="L2493" s="70"/>
      <c r="M2493" s="70"/>
      <c r="N2493" s="70"/>
    </row>
    <row r="2494" spans="11:14">
      <c r="K2494" s="70"/>
      <c r="L2494" s="70"/>
      <c r="M2494" s="70"/>
      <c r="N2494" s="70"/>
    </row>
    <row r="2495" spans="11:14">
      <c r="K2495" s="70"/>
      <c r="L2495" s="70"/>
      <c r="M2495" s="70"/>
      <c r="N2495" s="70"/>
    </row>
    <row r="2496" spans="11:14">
      <c r="K2496" s="70"/>
      <c r="L2496" s="70"/>
      <c r="M2496" s="70"/>
      <c r="N2496" s="70"/>
    </row>
    <row r="2497" spans="11:14">
      <c r="K2497" s="70"/>
      <c r="L2497" s="70"/>
      <c r="M2497" s="70"/>
      <c r="N2497" s="70"/>
    </row>
    <row r="2498" spans="11:14">
      <c r="K2498" s="70"/>
      <c r="L2498" s="70"/>
      <c r="M2498" s="70"/>
      <c r="N2498" s="70"/>
    </row>
    <row r="2499" spans="11:14">
      <c r="K2499" s="70"/>
      <c r="L2499" s="70"/>
      <c r="M2499" s="70"/>
      <c r="N2499" s="70"/>
    </row>
    <row r="2500" spans="11:14">
      <c r="K2500" s="70"/>
      <c r="L2500" s="70"/>
      <c r="M2500" s="70"/>
      <c r="N2500" s="70"/>
    </row>
    <row r="2501" spans="11:14">
      <c r="K2501" s="70"/>
      <c r="L2501" s="70"/>
      <c r="M2501" s="70"/>
      <c r="N2501" s="70"/>
    </row>
    <row r="2502" spans="11:14">
      <c r="K2502" s="70"/>
      <c r="L2502" s="70"/>
      <c r="M2502" s="70"/>
      <c r="N2502" s="70"/>
    </row>
    <row r="2503" spans="11:14">
      <c r="K2503" s="70"/>
      <c r="L2503" s="70"/>
      <c r="M2503" s="70"/>
      <c r="N2503" s="70"/>
    </row>
    <row r="2504" spans="11:14">
      <c r="K2504" s="70"/>
      <c r="L2504" s="70"/>
      <c r="M2504" s="70"/>
      <c r="N2504" s="70"/>
    </row>
    <row r="2505" spans="11:14">
      <c r="K2505" s="70"/>
      <c r="L2505" s="70"/>
      <c r="M2505" s="70"/>
      <c r="N2505" s="70"/>
    </row>
    <row r="2506" spans="11:14">
      <c r="K2506" s="70"/>
      <c r="L2506" s="70"/>
      <c r="M2506" s="70"/>
      <c r="N2506" s="70"/>
    </row>
    <row r="2507" spans="11:14">
      <c r="K2507" s="70"/>
      <c r="L2507" s="70"/>
      <c r="M2507" s="70"/>
      <c r="N2507" s="70"/>
    </row>
    <row r="2508" spans="11:14">
      <c r="K2508" s="70"/>
      <c r="L2508" s="70"/>
      <c r="M2508" s="70"/>
      <c r="N2508" s="70"/>
    </row>
    <row r="2509" spans="11:14">
      <c r="K2509" s="70"/>
      <c r="L2509" s="70"/>
      <c r="M2509" s="70"/>
      <c r="N2509" s="70"/>
    </row>
    <row r="2510" spans="11:14">
      <c r="K2510" s="70"/>
      <c r="L2510" s="70"/>
      <c r="M2510" s="70"/>
      <c r="N2510" s="70"/>
    </row>
    <row r="2511" spans="11:14">
      <c r="K2511" s="70"/>
      <c r="L2511" s="70"/>
      <c r="M2511" s="70"/>
      <c r="N2511" s="70"/>
    </row>
    <row r="2512" spans="11:14">
      <c r="K2512" s="70"/>
      <c r="L2512" s="70"/>
      <c r="M2512" s="70"/>
      <c r="N2512" s="70"/>
    </row>
    <row r="2513" spans="11:14">
      <c r="K2513" s="70"/>
      <c r="L2513" s="70"/>
      <c r="M2513" s="70"/>
      <c r="N2513" s="70"/>
    </row>
    <row r="2514" spans="11:14">
      <c r="K2514" s="70"/>
      <c r="L2514" s="70"/>
      <c r="M2514" s="70"/>
      <c r="N2514" s="70"/>
    </row>
    <row r="2515" spans="11:14">
      <c r="K2515" s="70"/>
      <c r="L2515" s="70"/>
      <c r="M2515" s="70"/>
      <c r="N2515" s="70"/>
    </row>
    <row r="2516" spans="11:14">
      <c r="K2516" s="70"/>
      <c r="L2516" s="70"/>
      <c r="M2516" s="70"/>
      <c r="N2516" s="70"/>
    </row>
    <row r="2517" spans="11:14">
      <c r="K2517" s="70"/>
      <c r="L2517" s="70"/>
      <c r="M2517" s="70"/>
      <c r="N2517" s="70"/>
    </row>
    <row r="2518" spans="11:14">
      <c r="K2518" s="70"/>
      <c r="L2518" s="70"/>
      <c r="M2518" s="70"/>
      <c r="N2518" s="70"/>
    </row>
    <row r="2519" spans="11:14">
      <c r="K2519" s="70"/>
      <c r="L2519" s="70"/>
      <c r="M2519" s="70"/>
      <c r="N2519" s="70"/>
    </row>
    <row r="2520" spans="11:14">
      <c r="K2520" s="70"/>
      <c r="L2520" s="70"/>
      <c r="M2520" s="70"/>
      <c r="N2520" s="70"/>
    </row>
    <row r="2521" spans="11:14">
      <c r="K2521" s="70"/>
      <c r="L2521" s="70"/>
      <c r="M2521" s="70"/>
      <c r="N2521" s="70"/>
    </row>
    <row r="2522" spans="11:14">
      <c r="K2522" s="70"/>
      <c r="L2522" s="70"/>
      <c r="M2522" s="70"/>
      <c r="N2522" s="70"/>
    </row>
    <row r="2523" spans="11:14">
      <c r="K2523" s="70"/>
      <c r="L2523" s="70"/>
      <c r="M2523" s="70"/>
      <c r="N2523" s="70"/>
    </row>
    <row r="2524" spans="11:14">
      <c r="K2524" s="70"/>
      <c r="L2524" s="70"/>
      <c r="M2524" s="70"/>
      <c r="N2524" s="70"/>
    </row>
    <row r="2525" spans="11:14">
      <c r="K2525" s="70"/>
      <c r="L2525" s="70"/>
      <c r="M2525" s="70"/>
      <c r="N2525" s="70"/>
    </row>
    <row r="2526" spans="11:14">
      <c r="K2526" s="70"/>
      <c r="L2526" s="70"/>
      <c r="M2526" s="70"/>
      <c r="N2526" s="70"/>
    </row>
    <row r="2527" spans="11:14">
      <c r="K2527" s="70"/>
      <c r="L2527" s="70"/>
      <c r="M2527" s="70"/>
      <c r="N2527" s="70"/>
    </row>
    <row r="2528" spans="11:14">
      <c r="K2528" s="70"/>
      <c r="L2528" s="70"/>
      <c r="M2528" s="70"/>
      <c r="N2528" s="70"/>
    </row>
    <row r="2529" spans="11:14">
      <c r="K2529" s="70"/>
      <c r="L2529" s="70"/>
      <c r="M2529" s="70"/>
      <c r="N2529" s="70"/>
    </row>
    <row r="2530" spans="11:14">
      <c r="K2530" s="70"/>
      <c r="L2530" s="70"/>
      <c r="M2530" s="70"/>
      <c r="N2530" s="70"/>
    </row>
    <row r="2531" spans="11:14">
      <c r="K2531" s="70"/>
      <c r="L2531" s="70"/>
      <c r="M2531" s="70"/>
      <c r="N2531" s="70"/>
    </row>
    <row r="2532" spans="11:14">
      <c r="K2532" s="70"/>
      <c r="L2532" s="70"/>
      <c r="M2532" s="70"/>
      <c r="N2532" s="70"/>
    </row>
    <row r="2533" spans="11:14">
      <c r="K2533" s="70"/>
      <c r="L2533" s="70"/>
      <c r="M2533" s="70"/>
      <c r="N2533" s="70"/>
    </row>
    <row r="2534" spans="11:14">
      <c r="K2534" s="70"/>
      <c r="L2534" s="70"/>
      <c r="M2534" s="70"/>
      <c r="N2534" s="70"/>
    </row>
    <row r="2535" spans="11:14">
      <c r="K2535" s="70"/>
      <c r="L2535" s="70"/>
      <c r="M2535" s="70"/>
      <c r="N2535" s="70"/>
    </row>
    <row r="2536" spans="11:14">
      <c r="K2536" s="70"/>
      <c r="L2536" s="70"/>
      <c r="M2536" s="70"/>
      <c r="N2536" s="70"/>
    </row>
    <row r="2537" spans="11:14">
      <c r="K2537" s="70"/>
      <c r="L2537" s="70"/>
      <c r="M2537" s="70"/>
      <c r="N2537" s="70"/>
    </row>
    <row r="2538" spans="11:14">
      <c r="K2538" s="70"/>
      <c r="L2538" s="70"/>
      <c r="M2538" s="70"/>
      <c r="N2538" s="70"/>
    </row>
    <row r="2539" spans="11:14">
      <c r="K2539" s="70"/>
      <c r="L2539" s="70"/>
      <c r="M2539" s="70"/>
      <c r="N2539" s="70"/>
    </row>
    <row r="2540" spans="11:14">
      <c r="K2540" s="70"/>
      <c r="L2540" s="70"/>
      <c r="M2540" s="70"/>
      <c r="N2540" s="70"/>
    </row>
    <row r="2541" spans="11:14">
      <c r="K2541" s="70"/>
      <c r="L2541" s="70"/>
      <c r="M2541" s="70"/>
      <c r="N2541" s="70"/>
    </row>
    <row r="2542" spans="11:14">
      <c r="K2542" s="70"/>
      <c r="L2542" s="70"/>
      <c r="M2542" s="70"/>
      <c r="N2542" s="70"/>
    </row>
    <row r="2543" spans="11:14">
      <c r="K2543" s="70"/>
      <c r="L2543" s="70"/>
      <c r="M2543" s="70"/>
      <c r="N2543" s="70"/>
    </row>
    <row r="2544" spans="11:14">
      <c r="K2544" s="70"/>
      <c r="L2544" s="70"/>
      <c r="M2544" s="70"/>
      <c r="N2544" s="70"/>
    </row>
    <row r="2545" spans="11:14">
      <c r="K2545" s="70"/>
      <c r="L2545" s="70"/>
      <c r="M2545" s="70"/>
      <c r="N2545" s="70"/>
    </row>
    <row r="2546" spans="11:14">
      <c r="K2546" s="70"/>
      <c r="L2546" s="70"/>
      <c r="M2546" s="70"/>
      <c r="N2546" s="70"/>
    </row>
    <row r="2547" spans="11:14">
      <c r="K2547" s="70"/>
      <c r="L2547" s="70"/>
      <c r="M2547" s="70"/>
      <c r="N2547" s="70"/>
    </row>
    <row r="2548" spans="11:14">
      <c r="K2548" s="70"/>
      <c r="L2548" s="70"/>
      <c r="M2548" s="70"/>
      <c r="N2548" s="70"/>
    </row>
    <row r="2549" spans="11:14">
      <c r="K2549" s="70"/>
      <c r="L2549" s="70"/>
      <c r="M2549" s="70"/>
      <c r="N2549" s="70"/>
    </row>
    <row r="2550" spans="11:14">
      <c r="K2550" s="70"/>
      <c r="L2550" s="70"/>
      <c r="M2550" s="70"/>
      <c r="N2550" s="70"/>
    </row>
    <row r="2551" spans="11:14">
      <c r="K2551" s="70"/>
      <c r="L2551" s="70"/>
      <c r="M2551" s="70"/>
      <c r="N2551" s="70"/>
    </row>
    <row r="2552" spans="11:14">
      <c r="K2552" s="70"/>
      <c r="L2552" s="70"/>
      <c r="M2552" s="70"/>
      <c r="N2552" s="70"/>
    </row>
    <row r="2553" spans="11:14">
      <c r="K2553" s="70"/>
      <c r="L2553" s="70"/>
      <c r="M2553" s="70"/>
      <c r="N2553" s="70"/>
    </row>
    <row r="2554" spans="11:14">
      <c r="K2554" s="70"/>
      <c r="L2554" s="70"/>
      <c r="M2554" s="70"/>
      <c r="N2554" s="70"/>
    </row>
    <row r="2555" spans="11:14">
      <c r="K2555" s="70"/>
      <c r="L2555" s="70"/>
      <c r="M2555" s="70"/>
      <c r="N2555" s="70"/>
    </row>
    <row r="2556" spans="11:14">
      <c r="K2556" s="70"/>
      <c r="L2556" s="70"/>
      <c r="M2556" s="70"/>
      <c r="N2556" s="70"/>
    </row>
    <row r="2557" spans="11:14">
      <c r="K2557" s="70"/>
      <c r="L2557" s="70"/>
      <c r="M2557" s="70"/>
      <c r="N2557" s="70"/>
    </row>
    <row r="2558" spans="11:14">
      <c r="K2558" s="70"/>
      <c r="L2558" s="70"/>
      <c r="M2558" s="70"/>
      <c r="N2558" s="70"/>
    </row>
    <row r="2559" spans="11:14">
      <c r="K2559" s="70"/>
      <c r="L2559" s="70"/>
      <c r="M2559" s="70"/>
      <c r="N2559" s="70"/>
    </row>
    <row r="2560" spans="11:14">
      <c r="K2560" s="70"/>
      <c r="L2560" s="70"/>
      <c r="M2560" s="70"/>
      <c r="N2560" s="70"/>
    </row>
    <row r="2561" spans="11:14">
      <c r="K2561" s="70"/>
      <c r="L2561" s="70"/>
      <c r="M2561" s="70"/>
      <c r="N2561" s="70"/>
    </row>
    <row r="2562" spans="11:14">
      <c r="K2562" s="70"/>
      <c r="L2562" s="70"/>
      <c r="M2562" s="70"/>
      <c r="N2562" s="70"/>
    </row>
    <row r="2563" spans="11:14">
      <c r="K2563" s="70"/>
      <c r="L2563" s="70"/>
      <c r="M2563" s="70"/>
      <c r="N2563" s="70"/>
    </row>
    <row r="2564" spans="11:14">
      <c r="K2564" s="70"/>
      <c r="L2564" s="70"/>
      <c r="M2564" s="70"/>
      <c r="N2564" s="70"/>
    </row>
    <row r="2565" spans="11:14">
      <c r="K2565" s="70"/>
      <c r="L2565" s="70"/>
      <c r="M2565" s="70"/>
      <c r="N2565" s="70"/>
    </row>
    <row r="2566" spans="11:14">
      <c r="K2566" s="70"/>
      <c r="L2566" s="70"/>
      <c r="M2566" s="70"/>
      <c r="N2566" s="70"/>
    </row>
    <row r="2567" spans="11:14">
      <c r="K2567" s="70"/>
      <c r="L2567" s="70"/>
      <c r="M2567" s="70"/>
      <c r="N2567" s="70"/>
    </row>
    <row r="2568" spans="11:14">
      <c r="K2568" s="70"/>
      <c r="L2568" s="70"/>
      <c r="M2568" s="70"/>
      <c r="N2568" s="70"/>
    </row>
    <row r="2569" spans="11:14">
      <c r="K2569" s="70"/>
      <c r="L2569" s="70"/>
      <c r="M2569" s="70"/>
      <c r="N2569" s="70"/>
    </row>
    <row r="2570" spans="11:14">
      <c r="K2570" s="70"/>
      <c r="L2570" s="70"/>
      <c r="M2570" s="70"/>
      <c r="N2570" s="70"/>
    </row>
    <row r="2571" spans="11:14">
      <c r="K2571" s="70"/>
      <c r="L2571" s="70"/>
      <c r="M2571" s="70"/>
      <c r="N2571" s="70"/>
    </row>
    <row r="2572" spans="11:14">
      <c r="K2572" s="70"/>
      <c r="L2572" s="70"/>
      <c r="M2572" s="70"/>
      <c r="N2572" s="70"/>
    </row>
    <row r="2573" spans="11:14">
      <c r="K2573" s="70"/>
      <c r="L2573" s="70"/>
      <c r="M2573" s="70"/>
      <c r="N2573" s="70"/>
    </row>
    <row r="2574" spans="11:14">
      <c r="K2574" s="70"/>
      <c r="L2574" s="70"/>
      <c r="M2574" s="70"/>
      <c r="N2574" s="70"/>
    </row>
    <row r="2575" spans="11:14">
      <c r="K2575" s="70"/>
      <c r="L2575" s="70"/>
      <c r="M2575" s="70"/>
      <c r="N2575" s="70"/>
    </row>
    <row r="2576" spans="11:14">
      <c r="K2576" s="70"/>
      <c r="L2576" s="70"/>
      <c r="M2576" s="70"/>
      <c r="N2576" s="70"/>
    </row>
    <row r="2577" spans="11:14">
      <c r="K2577" s="70"/>
      <c r="L2577" s="70"/>
      <c r="M2577" s="70"/>
      <c r="N2577" s="70"/>
    </row>
    <row r="2578" spans="11:14">
      <c r="K2578" s="70"/>
      <c r="L2578" s="70"/>
      <c r="M2578" s="70"/>
      <c r="N2578" s="70"/>
    </row>
    <row r="2579" spans="11:14">
      <c r="K2579" s="70"/>
      <c r="L2579" s="70"/>
      <c r="M2579" s="70"/>
      <c r="N2579" s="70"/>
    </row>
    <row r="2580" spans="11:14">
      <c r="K2580" s="70"/>
      <c r="L2580" s="70"/>
      <c r="M2580" s="70"/>
      <c r="N2580" s="70"/>
    </row>
    <row r="2581" spans="11:14">
      <c r="K2581" s="70"/>
      <c r="L2581" s="70"/>
      <c r="M2581" s="70"/>
      <c r="N2581" s="70"/>
    </row>
    <row r="2582" spans="11:14">
      <c r="K2582" s="70"/>
      <c r="L2582" s="70"/>
      <c r="M2582" s="70"/>
      <c r="N2582" s="70"/>
    </row>
    <row r="2583" spans="11:14">
      <c r="K2583" s="70"/>
      <c r="L2583" s="70"/>
      <c r="M2583" s="70"/>
      <c r="N2583" s="70"/>
    </row>
    <row r="2584" spans="11:14">
      <c r="K2584" s="70"/>
      <c r="L2584" s="70"/>
      <c r="M2584" s="70"/>
      <c r="N2584" s="70"/>
    </row>
    <row r="2585" spans="11:14">
      <c r="K2585" s="70"/>
      <c r="L2585" s="70"/>
      <c r="M2585" s="70"/>
      <c r="N2585" s="70"/>
    </row>
    <row r="2586" spans="11:14">
      <c r="K2586" s="70"/>
      <c r="L2586" s="70"/>
      <c r="M2586" s="70"/>
      <c r="N2586" s="70"/>
    </row>
    <row r="2587" spans="11:14">
      <c r="K2587" s="70"/>
      <c r="L2587" s="70"/>
      <c r="M2587" s="70"/>
      <c r="N2587" s="70"/>
    </row>
    <row r="2588" spans="11:14">
      <c r="K2588" s="70"/>
      <c r="L2588" s="70"/>
      <c r="M2588" s="70"/>
      <c r="N2588" s="70"/>
    </row>
    <row r="2589" spans="11:14">
      <c r="K2589" s="70"/>
      <c r="L2589" s="70"/>
      <c r="M2589" s="70"/>
      <c r="N2589" s="70"/>
    </row>
    <row r="2590" spans="11:14">
      <c r="K2590" s="70"/>
      <c r="L2590" s="70"/>
      <c r="M2590" s="70"/>
      <c r="N2590" s="70"/>
    </row>
    <row r="2591" spans="11:14">
      <c r="K2591" s="70"/>
      <c r="L2591" s="70"/>
      <c r="M2591" s="70"/>
      <c r="N2591" s="70"/>
    </row>
    <row r="2592" spans="11:14">
      <c r="K2592" s="70"/>
      <c r="L2592" s="70"/>
      <c r="M2592" s="70"/>
      <c r="N2592" s="70"/>
    </row>
    <row r="2593" spans="11:14">
      <c r="K2593" s="70"/>
      <c r="L2593" s="70"/>
      <c r="M2593" s="70"/>
      <c r="N2593" s="70"/>
    </row>
    <row r="2594" spans="11:14">
      <c r="K2594" s="70"/>
      <c r="L2594" s="70"/>
      <c r="M2594" s="70"/>
      <c r="N2594" s="70"/>
    </row>
    <row r="2595" spans="11:14">
      <c r="K2595" s="70"/>
      <c r="L2595" s="70"/>
      <c r="M2595" s="70"/>
      <c r="N2595" s="70"/>
    </row>
    <row r="2596" spans="11:14">
      <c r="K2596" s="70"/>
      <c r="L2596" s="70"/>
      <c r="M2596" s="70"/>
      <c r="N2596" s="70"/>
    </row>
    <row r="2597" spans="11:14">
      <c r="K2597" s="70"/>
      <c r="L2597" s="70"/>
      <c r="M2597" s="70"/>
      <c r="N2597" s="70"/>
    </row>
    <row r="2598" spans="11:14">
      <c r="K2598" s="70"/>
      <c r="L2598" s="70"/>
      <c r="M2598" s="70"/>
      <c r="N2598" s="70"/>
    </row>
    <row r="2599" spans="11:14">
      <c r="K2599" s="70"/>
      <c r="L2599" s="70"/>
      <c r="M2599" s="70"/>
      <c r="N2599" s="70"/>
    </row>
    <row r="2600" spans="11:14">
      <c r="K2600" s="70"/>
      <c r="L2600" s="70"/>
      <c r="M2600" s="70"/>
      <c r="N2600" s="70"/>
    </row>
    <row r="2601" spans="11:14">
      <c r="K2601" s="70"/>
      <c r="L2601" s="70"/>
      <c r="M2601" s="70"/>
      <c r="N2601" s="70"/>
    </row>
    <row r="2602" spans="11:14">
      <c r="K2602" s="70"/>
      <c r="L2602" s="70"/>
      <c r="M2602" s="70"/>
      <c r="N2602" s="70"/>
    </row>
    <row r="2603" spans="11:14">
      <c r="K2603" s="70"/>
      <c r="L2603" s="70"/>
      <c r="M2603" s="70"/>
      <c r="N2603" s="70"/>
    </row>
    <row r="2604" spans="11:14">
      <c r="K2604" s="70"/>
      <c r="L2604" s="70"/>
      <c r="M2604" s="70"/>
      <c r="N2604" s="70"/>
    </row>
    <row r="2605" spans="11:14">
      <c r="K2605" s="70"/>
      <c r="L2605" s="70"/>
      <c r="M2605" s="70"/>
      <c r="N2605" s="70"/>
    </row>
    <row r="2606" spans="11:14">
      <c r="K2606" s="70"/>
      <c r="L2606" s="70"/>
      <c r="M2606" s="70"/>
      <c r="N2606" s="70"/>
    </row>
    <row r="2607" spans="11:14">
      <c r="K2607" s="70"/>
      <c r="L2607" s="70"/>
      <c r="M2607" s="70"/>
      <c r="N2607" s="70"/>
    </row>
    <row r="2608" spans="11:14">
      <c r="K2608" s="70"/>
      <c r="L2608" s="70"/>
      <c r="M2608" s="70"/>
      <c r="N2608" s="70"/>
    </row>
    <row r="2609" spans="11:14">
      <c r="K2609" s="70"/>
      <c r="L2609" s="70"/>
      <c r="M2609" s="70"/>
      <c r="N2609" s="70"/>
    </row>
    <row r="2610" spans="11:14">
      <c r="K2610" s="70"/>
      <c r="L2610" s="70"/>
      <c r="M2610" s="70"/>
      <c r="N2610" s="70"/>
    </row>
    <row r="2611" spans="11:14">
      <c r="K2611" s="70"/>
      <c r="L2611" s="70"/>
      <c r="M2611" s="70"/>
      <c r="N2611" s="70"/>
    </row>
    <row r="2612" spans="11:14">
      <c r="K2612" s="70"/>
      <c r="L2612" s="70"/>
      <c r="M2612" s="70"/>
      <c r="N2612" s="70"/>
    </row>
    <row r="2613" spans="11:14">
      <c r="K2613" s="70"/>
      <c r="L2613" s="70"/>
      <c r="M2613" s="70"/>
      <c r="N2613" s="70"/>
    </row>
    <row r="2614" spans="11:14">
      <c r="K2614" s="70"/>
      <c r="L2614" s="70"/>
      <c r="M2614" s="70"/>
      <c r="N2614" s="70"/>
    </row>
    <row r="2615" spans="11:14">
      <c r="K2615" s="70"/>
      <c r="L2615" s="70"/>
      <c r="M2615" s="70"/>
      <c r="N2615" s="70"/>
    </row>
    <row r="2616" spans="11:14">
      <c r="K2616" s="70"/>
      <c r="L2616" s="70"/>
      <c r="M2616" s="70"/>
      <c r="N2616" s="70"/>
    </row>
    <row r="2617" spans="11:14">
      <c r="K2617" s="70"/>
      <c r="L2617" s="70"/>
      <c r="M2617" s="70"/>
      <c r="N2617" s="70"/>
    </row>
    <row r="2618" spans="11:14">
      <c r="K2618" s="70"/>
      <c r="L2618" s="70"/>
      <c r="M2618" s="70"/>
      <c r="N2618" s="70"/>
    </row>
    <row r="2619" spans="11:14">
      <c r="K2619" s="70"/>
      <c r="L2619" s="70"/>
      <c r="M2619" s="70"/>
      <c r="N2619" s="70"/>
    </row>
    <row r="2620" spans="11:14">
      <c r="K2620" s="70"/>
      <c r="L2620" s="70"/>
      <c r="M2620" s="70"/>
      <c r="N2620" s="70"/>
    </row>
    <row r="2621" spans="11:14">
      <c r="K2621" s="70"/>
      <c r="L2621" s="70"/>
      <c r="M2621" s="70"/>
      <c r="N2621" s="70"/>
    </row>
    <row r="2622" spans="11:14">
      <c r="K2622" s="70"/>
      <c r="L2622" s="70"/>
      <c r="M2622" s="70"/>
      <c r="N2622" s="70"/>
    </row>
    <row r="2623" spans="11:14">
      <c r="K2623" s="70"/>
      <c r="L2623" s="70"/>
      <c r="M2623" s="70"/>
      <c r="N2623" s="70"/>
    </row>
    <row r="2624" spans="11:14">
      <c r="K2624" s="70"/>
      <c r="L2624" s="70"/>
      <c r="M2624" s="70"/>
      <c r="N2624" s="70"/>
    </row>
    <row r="2625" spans="11:14">
      <c r="K2625" s="70"/>
      <c r="L2625" s="70"/>
      <c r="M2625" s="70"/>
      <c r="N2625" s="70"/>
    </row>
    <row r="2626" spans="11:14">
      <c r="K2626" s="70"/>
      <c r="L2626" s="70"/>
      <c r="M2626" s="70"/>
      <c r="N2626" s="70"/>
    </row>
    <row r="2627" spans="11:14">
      <c r="K2627" s="70"/>
      <c r="L2627" s="70"/>
      <c r="M2627" s="70"/>
      <c r="N2627" s="70"/>
    </row>
    <row r="2628" spans="11:14">
      <c r="K2628" s="70"/>
      <c r="L2628" s="70"/>
      <c r="M2628" s="70"/>
      <c r="N2628" s="70"/>
    </row>
    <row r="2629" spans="11:14">
      <c r="K2629" s="70"/>
      <c r="L2629" s="70"/>
      <c r="M2629" s="70"/>
      <c r="N2629" s="70"/>
    </row>
    <row r="2630" spans="11:14">
      <c r="K2630" s="70"/>
      <c r="L2630" s="70"/>
      <c r="M2630" s="70"/>
      <c r="N2630" s="70"/>
    </row>
    <row r="2631" spans="11:14">
      <c r="K2631" s="70"/>
      <c r="L2631" s="70"/>
      <c r="M2631" s="70"/>
      <c r="N2631" s="70"/>
    </row>
    <row r="2632" spans="11:14">
      <c r="K2632" s="70"/>
      <c r="L2632" s="70"/>
      <c r="M2632" s="70"/>
      <c r="N2632" s="70"/>
    </row>
    <row r="2633" spans="11:14">
      <c r="K2633" s="70"/>
      <c r="L2633" s="70"/>
      <c r="M2633" s="70"/>
      <c r="N2633" s="70"/>
    </row>
    <row r="2634" spans="11:14">
      <c r="K2634" s="70"/>
      <c r="L2634" s="70"/>
      <c r="M2634" s="70"/>
      <c r="N2634" s="70"/>
    </row>
    <row r="2635" spans="11:14">
      <c r="K2635" s="70"/>
      <c r="L2635" s="70"/>
      <c r="M2635" s="70"/>
      <c r="N2635" s="70"/>
    </row>
    <row r="2636" spans="11:14">
      <c r="K2636" s="70"/>
      <c r="L2636" s="70"/>
      <c r="M2636" s="70"/>
      <c r="N2636" s="70"/>
    </row>
    <row r="2637" spans="11:14">
      <c r="K2637" s="70"/>
      <c r="L2637" s="70"/>
      <c r="M2637" s="70"/>
      <c r="N2637" s="70"/>
    </row>
    <row r="2638" spans="11:14">
      <c r="K2638" s="70"/>
      <c r="L2638" s="70"/>
      <c r="M2638" s="70"/>
      <c r="N2638" s="70"/>
    </row>
    <row r="2639" spans="11:14">
      <c r="K2639" s="70"/>
      <c r="L2639" s="70"/>
      <c r="M2639" s="70"/>
      <c r="N2639" s="70"/>
    </row>
    <row r="2640" spans="11:14">
      <c r="K2640" s="70"/>
      <c r="L2640" s="70"/>
      <c r="M2640" s="70"/>
      <c r="N2640" s="70"/>
    </row>
    <row r="2641" spans="11:14">
      <c r="K2641" s="70"/>
      <c r="L2641" s="70"/>
      <c r="M2641" s="70"/>
      <c r="N2641" s="70"/>
    </row>
    <row r="2642" spans="11:14">
      <c r="K2642" s="70"/>
      <c r="L2642" s="70"/>
      <c r="M2642" s="70"/>
      <c r="N2642" s="70"/>
    </row>
    <row r="2643" spans="11:14">
      <c r="K2643" s="70"/>
      <c r="L2643" s="70"/>
      <c r="M2643" s="70"/>
      <c r="N2643" s="70"/>
    </row>
    <row r="2644" spans="11:14">
      <c r="K2644" s="70"/>
      <c r="L2644" s="70"/>
      <c r="M2644" s="70"/>
      <c r="N2644" s="70"/>
    </row>
    <row r="2645" spans="11:14">
      <c r="K2645" s="70"/>
      <c r="L2645" s="70"/>
      <c r="M2645" s="70"/>
      <c r="N2645" s="70"/>
    </row>
    <row r="2646" spans="11:14">
      <c r="K2646" s="70"/>
      <c r="L2646" s="70"/>
      <c r="M2646" s="70"/>
      <c r="N2646" s="70"/>
    </row>
    <row r="2647" spans="11:14">
      <c r="K2647" s="70"/>
      <c r="L2647" s="70"/>
      <c r="M2647" s="70"/>
      <c r="N2647" s="70"/>
    </row>
    <row r="2648" spans="11:14">
      <c r="K2648" s="70"/>
      <c r="L2648" s="70"/>
      <c r="M2648" s="70"/>
      <c r="N2648" s="70"/>
    </row>
    <row r="2649" spans="11:14">
      <c r="K2649" s="70"/>
      <c r="L2649" s="70"/>
      <c r="M2649" s="70"/>
      <c r="N2649" s="70"/>
    </row>
    <row r="2650" spans="11:14">
      <c r="K2650" s="70"/>
      <c r="L2650" s="70"/>
      <c r="M2650" s="70"/>
      <c r="N2650" s="70"/>
    </row>
    <row r="2651" spans="11:14">
      <c r="K2651" s="70"/>
      <c r="L2651" s="70"/>
      <c r="M2651" s="70"/>
      <c r="N2651" s="70"/>
    </row>
    <row r="2652" spans="11:14">
      <c r="K2652" s="70"/>
      <c r="L2652" s="70"/>
      <c r="M2652" s="70"/>
      <c r="N2652" s="70"/>
    </row>
    <row r="2653" spans="11:14">
      <c r="K2653" s="70"/>
      <c r="L2653" s="70"/>
      <c r="M2653" s="70"/>
      <c r="N2653" s="70"/>
    </row>
    <row r="2654" spans="11:14">
      <c r="K2654" s="70"/>
      <c r="L2654" s="70"/>
      <c r="M2654" s="70"/>
      <c r="N2654" s="70"/>
    </row>
    <row r="2655" spans="11:14">
      <c r="K2655" s="70"/>
      <c r="L2655" s="70"/>
      <c r="M2655" s="70"/>
      <c r="N2655" s="70"/>
    </row>
    <row r="2656" spans="11:14">
      <c r="K2656" s="70"/>
      <c r="L2656" s="70"/>
      <c r="M2656" s="70"/>
      <c r="N2656" s="70"/>
    </row>
    <row r="2657" spans="11:14">
      <c r="K2657" s="70"/>
      <c r="L2657" s="70"/>
      <c r="M2657" s="70"/>
      <c r="N2657" s="70"/>
    </row>
    <row r="2658" spans="11:14">
      <c r="K2658" s="70"/>
      <c r="L2658" s="70"/>
      <c r="M2658" s="70"/>
      <c r="N2658" s="70"/>
    </row>
    <row r="2659" spans="11:14">
      <c r="K2659" s="70"/>
      <c r="L2659" s="70"/>
      <c r="M2659" s="70"/>
      <c r="N2659" s="70"/>
    </row>
    <row r="2660" spans="11:14">
      <c r="K2660" s="70"/>
      <c r="L2660" s="70"/>
      <c r="M2660" s="70"/>
      <c r="N2660" s="70"/>
    </row>
    <row r="2661" spans="11:14">
      <c r="K2661" s="70"/>
      <c r="L2661" s="70"/>
      <c r="M2661" s="70"/>
      <c r="N2661" s="70"/>
    </row>
    <row r="2662" spans="11:14">
      <c r="K2662" s="70"/>
      <c r="L2662" s="70"/>
      <c r="M2662" s="70"/>
      <c r="N2662" s="70"/>
    </row>
    <row r="2663" spans="11:14">
      <c r="K2663" s="70"/>
      <c r="L2663" s="70"/>
      <c r="M2663" s="70"/>
      <c r="N2663" s="70"/>
    </row>
    <row r="2664" spans="11:14">
      <c r="K2664" s="70"/>
      <c r="L2664" s="70"/>
      <c r="M2664" s="70"/>
      <c r="N2664" s="70"/>
    </row>
    <row r="2665" spans="11:14">
      <c r="K2665" s="70"/>
      <c r="L2665" s="70"/>
      <c r="M2665" s="70"/>
      <c r="N2665" s="70"/>
    </row>
    <row r="2666" spans="11:14">
      <c r="K2666" s="70"/>
      <c r="L2666" s="70"/>
      <c r="M2666" s="70"/>
      <c r="N2666" s="70"/>
    </row>
    <row r="2667" spans="11:14">
      <c r="K2667" s="70"/>
      <c r="L2667" s="70"/>
      <c r="M2667" s="70"/>
      <c r="N2667" s="70"/>
    </row>
    <row r="2668" spans="11:14">
      <c r="K2668" s="70"/>
      <c r="L2668" s="70"/>
      <c r="M2668" s="70"/>
      <c r="N2668" s="70"/>
    </row>
    <row r="2669" spans="11:14">
      <c r="K2669" s="70"/>
      <c r="L2669" s="70"/>
      <c r="M2669" s="70"/>
      <c r="N2669" s="70"/>
    </row>
    <row r="2670" spans="11:14">
      <c r="K2670" s="70"/>
      <c r="L2670" s="70"/>
      <c r="M2670" s="70"/>
      <c r="N2670" s="70"/>
    </row>
    <row r="2671" spans="11:14">
      <c r="K2671" s="70"/>
      <c r="L2671" s="70"/>
      <c r="M2671" s="70"/>
      <c r="N2671" s="70"/>
    </row>
    <row r="2672" spans="11:14">
      <c r="K2672" s="70"/>
      <c r="L2672" s="70"/>
      <c r="M2672" s="70"/>
      <c r="N2672" s="70"/>
    </row>
    <row r="2673" spans="11:14">
      <c r="K2673" s="70"/>
      <c r="L2673" s="70"/>
      <c r="M2673" s="70"/>
      <c r="N2673" s="70"/>
    </row>
    <row r="2674" spans="11:14">
      <c r="K2674" s="70"/>
      <c r="L2674" s="70"/>
      <c r="M2674" s="70"/>
      <c r="N2674" s="70"/>
    </row>
    <row r="2675" spans="11:14">
      <c r="K2675" s="70"/>
      <c r="L2675" s="70"/>
      <c r="M2675" s="70"/>
      <c r="N2675" s="70"/>
    </row>
    <row r="2676" spans="11:14">
      <c r="K2676" s="70"/>
      <c r="L2676" s="70"/>
      <c r="M2676" s="70"/>
      <c r="N2676" s="70"/>
    </row>
    <row r="2677" spans="11:14">
      <c r="K2677" s="70"/>
      <c r="L2677" s="70"/>
      <c r="M2677" s="70"/>
      <c r="N2677" s="70"/>
    </row>
    <row r="2678" spans="11:14">
      <c r="K2678" s="70"/>
      <c r="L2678" s="70"/>
      <c r="M2678" s="70"/>
      <c r="N2678" s="70"/>
    </row>
    <row r="2679" spans="11:14">
      <c r="K2679" s="70"/>
      <c r="L2679" s="70"/>
      <c r="M2679" s="70"/>
      <c r="N2679" s="70"/>
    </row>
    <row r="2680" spans="11:14">
      <c r="K2680" s="70"/>
      <c r="L2680" s="70"/>
      <c r="M2680" s="70"/>
      <c r="N2680" s="70"/>
    </row>
    <row r="2681" spans="11:14">
      <c r="K2681" s="70"/>
      <c r="L2681" s="70"/>
      <c r="M2681" s="70"/>
      <c r="N2681" s="70"/>
    </row>
    <row r="2682" spans="11:14">
      <c r="K2682" s="70"/>
      <c r="L2682" s="70"/>
      <c r="M2682" s="70"/>
      <c r="N2682" s="70"/>
    </row>
    <row r="2683" spans="11:14">
      <c r="K2683" s="70"/>
      <c r="L2683" s="70"/>
      <c r="M2683" s="70"/>
      <c r="N2683" s="70"/>
    </row>
    <row r="2684" spans="11:14">
      <c r="K2684" s="70"/>
      <c r="L2684" s="70"/>
      <c r="M2684" s="70"/>
      <c r="N2684" s="70"/>
    </row>
    <row r="2685" spans="11:14">
      <c r="K2685" s="70"/>
      <c r="L2685" s="70"/>
      <c r="M2685" s="70"/>
      <c r="N2685" s="70"/>
    </row>
    <row r="2686" spans="11:14">
      <c r="K2686" s="70"/>
      <c r="L2686" s="70"/>
      <c r="M2686" s="70"/>
      <c r="N2686" s="70"/>
    </row>
    <row r="2687" spans="11:14">
      <c r="K2687" s="70"/>
      <c r="L2687" s="70"/>
      <c r="M2687" s="70"/>
      <c r="N2687" s="70"/>
    </row>
    <row r="2688" spans="11:14">
      <c r="K2688" s="70"/>
      <c r="L2688" s="70"/>
      <c r="M2688" s="70"/>
      <c r="N2688" s="70"/>
    </row>
    <row r="2689" spans="11:14">
      <c r="K2689" s="70"/>
      <c r="L2689" s="70"/>
      <c r="M2689" s="70"/>
      <c r="N2689" s="70"/>
    </row>
    <row r="2690" spans="11:14">
      <c r="K2690" s="70"/>
      <c r="L2690" s="70"/>
      <c r="M2690" s="70"/>
      <c r="N2690" s="70"/>
    </row>
    <row r="2691" spans="11:14">
      <c r="K2691" s="70"/>
      <c r="L2691" s="70"/>
      <c r="M2691" s="70"/>
      <c r="N2691" s="70"/>
    </row>
    <row r="2692" spans="11:14">
      <c r="K2692" s="70"/>
      <c r="L2692" s="70"/>
      <c r="M2692" s="70"/>
      <c r="N2692" s="70"/>
    </row>
    <row r="2693" spans="11:14">
      <c r="K2693" s="70"/>
      <c r="L2693" s="70"/>
      <c r="M2693" s="70"/>
      <c r="N2693" s="70"/>
    </row>
    <row r="2694" spans="11:14">
      <c r="K2694" s="70"/>
      <c r="L2694" s="70"/>
      <c r="M2694" s="70"/>
      <c r="N2694" s="70"/>
    </row>
    <row r="2695" spans="11:14">
      <c r="K2695" s="70"/>
      <c r="L2695" s="70"/>
      <c r="M2695" s="70"/>
      <c r="N2695" s="70"/>
    </row>
    <row r="2696" spans="11:14">
      <c r="K2696" s="70"/>
      <c r="L2696" s="70"/>
      <c r="M2696" s="70"/>
      <c r="N2696" s="70"/>
    </row>
    <row r="2697" spans="11:14">
      <c r="K2697" s="70"/>
      <c r="L2697" s="70"/>
      <c r="M2697" s="70"/>
      <c r="N2697" s="70"/>
    </row>
    <row r="2698" spans="11:14">
      <c r="K2698" s="70"/>
      <c r="L2698" s="70"/>
      <c r="M2698" s="70"/>
      <c r="N2698" s="70"/>
    </row>
    <row r="2699" spans="11:14">
      <c r="K2699" s="70"/>
      <c r="L2699" s="70"/>
      <c r="M2699" s="70"/>
      <c r="N2699" s="70"/>
    </row>
    <row r="2700" spans="11:14">
      <c r="K2700" s="70"/>
      <c r="L2700" s="70"/>
      <c r="M2700" s="70"/>
      <c r="N2700" s="70"/>
    </row>
    <row r="2701" spans="11:14">
      <c r="K2701" s="70"/>
      <c r="L2701" s="70"/>
      <c r="M2701" s="70"/>
      <c r="N2701" s="70"/>
    </row>
    <row r="2702" spans="11:14">
      <c r="K2702" s="70"/>
      <c r="L2702" s="70"/>
      <c r="M2702" s="70"/>
      <c r="N2702" s="70"/>
    </row>
    <row r="2703" spans="11:14">
      <c r="K2703" s="70"/>
      <c r="L2703" s="70"/>
      <c r="M2703" s="70"/>
      <c r="N2703" s="70"/>
    </row>
    <row r="2704" spans="11:14">
      <c r="K2704" s="70"/>
      <c r="L2704" s="70"/>
      <c r="M2704" s="70"/>
      <c r="N2704" s="70"/>
    </row>
    <row r="2705" spans="11:14">
      <c r="K2705" s="70"/>
      <c r="L2705" s="70"/>
      <c r="M2705" s="70"/>
      <c r="N2705" s="70"/>
    </row>
    <row r="2706" spans="11:14">
      <c r="K2706" s="70"/>
      <c r="L2706" s="70"/>
      <c r="M2706" s="70"/>
      <c r="N2706" s="70"/>
    </row>
    <row r="2707" spans="11:14">
      <c r="K2707" s="70"/>
      <c r="L2707" s="70"/>
      <c r="M2707" s="70"/>
      <c r="N2707" s="70"/>
    </row>
    <row r="2708" spans="11:14">
      <c r="K2708" s="70"/>
      <c r="L2708" s="70"/>
      <c r="M2708" s="70"/>
      <c r="N2708" s="70"/>
    </row>
    <row r="2709" spans="11:14">
      <c r="K2709" s="70"/>
      <c r="L2709" s="70"/>
      <c r="M2709" s="70"/>
      <c r="N2709" s="70"/>
    </row>
    <row r="2710" spans="11:14">
      <c r="K2710" s="70"/>
      <c r="L2710" s="70"/>
      <c r="M2710" s="70"/>
      <c r="N2710" s="70"/>
    </row>
    <row r="2711" spans="11:14">
      <c r="K2711" s="70"/>
      <c r="L2711" s="70"/>
      <c r="M2711" s="70"/>
      <c r="N2711" s="70"/>
    </row>
    <row r="2712" spans="11:14">
      <c r="K2712" s="70"/>
      <c r="L2712" s="70"/>
      <c r="M2712" s="70"/>
      <c r="N2712" s="70"/>
    </row>
    <row r="2713" spans="11:14">
      <c r="K2713" s="70"/>
      <c r="L2713" s="70"/>
      <c r="M2713" s="70"/>
      <c r="N2713" s="70"/>
    </row>
    <row r="2714" spans="11:14">
      <c r="K2714" s="70"/>
      <c r="L2714" s="70"/>
      <c r="M2714" s="70"/>
      <c r="N2714" s="70"/>
    </row>
    <row r="2715" spans="11:14">
      <c r="K2715" s="70"/>
      <c r="L2715" s="70"/>
      <c r="M2715" s="70"/>
      <c r="N2715" s="70"/>
    </row>
    <row r="2716" spans="11:14">
      <c r="K2716" s="70"/>
      <c r="L2716" s="70"/>
      <c r="M2716" s="70"/>
      <c r="N2716" s="70"/>
    </row>
    <row r="2717" spans="11:14">
      <c r="K2717" s="70"/>
      <c r="L2717" s="70"/>
      <c r="M2717" s="70"/>
      <c r="N2717" s="70"/>
    </row>
    <row r="2718" spans="11:14">
      <c r="K2718" s="70"/>
      <c r="L2718" s="70"/>
      <c r="M2718" s="70"/>
      <c r="N2718" s="70"/>
    </row>
    <row r="2719" spans="11:14">
      <c r="K2719" s="70"/>
      <c r="L2719" s="70"/>
      <c r="M2719" s="70"/>
      <c r="N2719" s="70"/>
    </row>
    <row r="2720" spans="11:14">
      <c r="K2720" s="70"/>
      <c r="L2720" s="70"/>
      <c r="M2720" s="70"/>
      <c r="N2720" s="70"/>
    </row>
    <row r="2721" spans="11:14">
      <c r="K2721" s="70"/>
      <c r="L2721" s="70"/>
      <c r="M2721" s="70"/>
      <c r="N2721" s="70"/>
    </row>
    <row r="2722" spans="11:14">
      <c r="K2722" s="70"/>
      <c r="L2722" s="70"/>
      <c r="M2722" s="70"/>
      <c r="N2722" s="70"/>
    </row>
    <row r="2723" spans="11:14">
      <c r="K2723" s="70"/>
      <c r="L2723" s="70"/>
      <c r="M2723" s="70"/>
      <c r="N2723" s="70"/>
    </row>
    <row r="2724" spans="11:14">
      <c r="K2724" s="70"/>
      <c r="L2724" s="70"/>
      <c r="M2724" s="70"/>
      <c r="N2724" s="70"/>
    </row>
    <row r="2725" spans="11:14">
      <c r="K2725" s="70"/>
      <c r="L2725" s="70"/>
      <c r="M2725" s="70"/>
      <c r="N2725" s="70"/>
    </row>
    <row r="2726" spans="11:14">
      <c r="K2726" s="70"/>
      <c r="L2726" s="70"/>
      <c r="M2726" s="70"/>
      <c r="N2726" s="70"/>
    </row>
    <row r="2727" spans="11:14">
      <c r="K2727" s="70"/>
      <c r="L2727" s="70"/>
      <c r="M2727" s="70"/>
      <c r="N2727" s="70"/>
    </row>
    <row r="2728" spans="11:14">
      <c r="K2728" s="70"/>
      <c r="L2728" s="70"/>
      <c r="M2728" s="70"/>
      <c r="N2728" s="70"/>
    </row>
    <row r="2729" spans="11:14">
      <c r="K2729" s="70"/>
      <c r="L2729" s="70"/>
      <c r="M2729" s="70"/>
      <c r="N2729" s="70"/>
    </row>
    <row r="2730" spans="11:14">
      <c r="K2730" s="70"/>
      <c r="L2730" s="70"/>
      <c r="M2730" s="70"/>
      <c r="N2730" s="70"/>
    </row>
    <row r="2731" spans="11:14">
      <c r="K2731" s="70"/>
      <c r="L2731" s="70"/>
      <c r="M2731" s="70"/>
      <c r="N2731" s="70"/>
    </row>
    <row r="2732" spans="11:14">
      <c r="K2732" s="70"/>
      <c r="L2732" s="70"/>
      <c r="M2732" s="70"/>
      <c r="N2732" s="70"/>
    </row>
    <row r="2733" spans="11:14">
      <c r="K2733" s="70"/>
      <c r="L2733" s="70"/>
      <c r="M2733" s="70"/>
      <c r="N2733" s="70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99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9" customWidth="1"/>
    <col min="11" max="16384" width="9.1796875" style="7"/>
  </cols>
  <sheetData>
    <row r="1" spans="1:10" ht="15.5">
      <c r="A1" s="1586" t="s">
        <v>120</v>
      </c>
      <c r="B1" s="1587"/>
      <c r="C1" s="1587"/>
      <c r="D1" s="1587"/>
      <c r="E1" s="1587"/>
      <c r="F1" s="1587"/>
      <c r="G1" s="1587"/>
      <c r="H1" s="1587"/>
      <c r="I1" s="1587"/>
      <c r="J1" s="1588"/>
    </row>
    <row r="2" spans="1:10" ht="15.5">
      <c r="A2" s="158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90"/>
      <c r="C2" s="1590"/>
      <c r="D2" s="1590"/>
      <c r="E2" s="1590"/>
      <c r="F2" s="1590"/>
      <c r="G2" s="1590"/>
      <c r="H2" s="1590"/>
      <c r="I2" s="1590"/>
      <c r="J2" s="1591"/>
    </row>
    <row r="3" spans="1:10" ht="15.5">
      <c r="A3" s="1598" t="s">
        <v>38</v>
      </c>
      <c r="B3" s="1578"/>
      <c r="C3" s="1578"/>
      <c r="D3" s="1578"/>
      <c r="E3" s="1578"/>
      <c r="F3" s="1578"/>
      <c r="G3" s="1578"/>
      <c r="H3" s="1578"/>
      <c r="I3" s="82"/>
      <c r="J3" s="310" t="str">
        <f>TA413_PBNTL!M1</f>
        <v>26.06.2026</v>
      </c>
    </row>
    <row r="4" spans="1:10">
      <c r="A4" s="1592" t="s">
        <v>20</v>
      </c>
      <c r="B4" s="1594" t="s">
        <v>21</v>
      </c>
      <c r="C4" s="1595"/>
      <c r="D4" s="1596" t="s">
        <v>980</v>
      </c>
      <c r="E4" s="1596" t="s">
        <v>22</v>
      </c>
      <c r="F4" s="1596" t="s">
        <v>39</v>
      </c>
      <c r="G4" s="1596" t="s">
        <v>23</v>
      </c>
      <c r="H4" s="1596" t="s">
        <v>80</v>
      </c>
      <c r="I4" s="1596" t="s">
        <v>249</v>
      </c>
      <c r="J4" s="1599" t="s">
        <v>1</v>
      </c>
    </row>
    <row r="5" spans="1:10" ht="21.75" customHeight="1">
      <c r="A5" s="1593"/>
      <c r="B5" s="12" t="s">
        <v>24</v>
      </c>
      <c r="C5" s="12" t="s">
        <v>25</v>
      </c>
      <c r="D5" s="1597"/>
      <c r="E5" s="1597"/>
      <c r="F5" s="1597"/>
      <c r="G5" s="1597"/>
      <c r="H5" s="1597"/>
      <c r="I5" s="1597"/>
      <c r="J5" s="1600"/>
    </row>
    <row r="6" spans="1:10">
      <c r="A6" s="84">
        <v>1</v>
      </c>
      <c r="B6" s="15" t="s">
        <v>506</v>
      </c>
      <c r="C6" s="15" t="s">
        <v>268</v>
      </c>
      <c r="D6" s="415"/>
      <c r="E6" s="194">
        <v>0.15</v>
      </c>
      <c r="F6" s="194">
        <f>E6</f>
        <v>0.15</v>
      </c>
      <c r="G6" s="85">
        <v>45709</v>
      </c>
      <c r="H6" s="85">
        <v>45709</v>
      </c>
      <c r="I6" s="85">
        <v>45709</v>
      </c>
      <c r="J6" s="116"/>
    </row>
    <row r="7" spans="1:10">
      <c r="A7" s="84">
        <f>A6+1</f>
        <v>2</v>
      </c>
      <c r="B7" s="15" t="str">
        <f t="shared" ref="B7:B54" si="0">C6</f>
        <v>1/0</v>
      </c>
      <c r="C7" s="15" t="s">
        <v>1250</v>
      </c>
      <c r="D7" s="415"/>
      <c r="E7" s="194">
        <v>0.29021000000000002</v>
      </c>
      <c r="F7" s="194">
        <f t="shared" ref="F7:F55" si="1">E7</f>
        <v>0.29021000000000002</v>
      </c>
      <c r="G7" s="85">
        <v>45709</v>
      </c>
      <c r="H7" s="85">
        <v>45709</v>
      </c>
      <c r="I7" s="85">
        <v>45709</v>
      </c>
      <c r="J7" s="116"/>
    </row>
    <row r="8" spans="1:10">
      <c r="A8" s="84">
        <f>A7+1</f>
        <v>3</v>
      </c>
      <c r="B8" s="15" t="str">
        <f>C7</f>
        <v>2A/0</v>
      </c>
      <c r="C8" s="15" t="s">
        <v>1258</v>
      </c>
      <c r="D8" s="415"/>
      <c r="E8" s="194">
        <v>2.836992</v>
      </c>
      <c r="F8" s="194">
        <f t="shared" si="1"/>
        <v>2.836992</v>
      </c>
      <c r="G8" s="85">
        <v>45709</v>
      </c>
      <c r="H8" s="85">
        <v>45709</v>
      </c>
      <c r="I8" s="85">
        <v>45709</v>
      </c>
      <c r="J8" s="116" t="s">
        <v>517</v>
      </c>
    </row>
    <row r="9" spans="1:10">
      <c r="A9" s="84">
        <f t="shared" ref="A9:A55" si="2">A8+1</f>
        <v>4</v>
      </c>
      <c r="B9" s="15" t="str">
        <f t="shared" si="0"/>
        <v>3A/0</v>
      </c>
      <c r="C9" s="15" t="s">
        <v>1265</v>
      </c>
      <c r="D9" s="415"/>
      <c r="E9" s="194">
        <v>2.6909999999999998</v>
      </c>
      <c r="F9" s="194">
        <f t="shared" si="1"/>
        <v>2.6909999999999998</v>
      </c>
      <c r="G9" s="85">
        <v>45709</v>
      </c>
      <c r="H9" s="85">
        <v>45709</v>
      </c>
      <c r="I9" s="85">
        <v>45709</v>
      </c>
      <c r="J9" s="116"/>
    </row>
    <row r="10" spans="1:10">
      <c r="A10" s="84">
        <f t="shared" si="2"/>
        <v>5</v>
      </c>
      <c r="B10" s="15" t="s">
        <v>1265</v>
      </c>
      <c r="C10" s="15" t="s">
        <v>256</v>
      </c>
      <c r="D10" s="415"/>
      <c r="E10" s="194">
        <v>1.627</v>
      </c>
      <c r="F10" s="194">
        <f t="shared" si="1"/>
        <v>1.627</v>
      </c>
      <c r="G10" s="85">
        <v>45709</v>
      </c>
      <c r="H10" s="85">
        <v>45709</v>
      </c>
      <c r="I10" s="85">
        <v>45709</v>
      </c>
      <c r="J10" s="116"/>
    </row>
    <row r="11" spans="1:10">
      <c r="A11" s="84">
        <f t="shared" si="2"/>
        <v>6</v>
      </c>
      <c r="B11" s="15" t="s">
        <v>256</v>
      </c>
      <c r="C11" s="15" t="s">
        <v>892</v>
      </c>
      <c r="D11" s="415"/>
      <c r="E11" s="194">
        <v>0.70916299999999999</v>
      </c>
      <c r="F11" s="194">
        <f t="shared" si="1"/>
        <v>0.70916299999999999</v>
      </c>
      <c r="G11" s="85">
        <v>45492</v>
      </c>
      <c r="H11" s="85">
        <v>45492</v>
      </c>
      <c r="I11" s="85">
        <v>45492</v>
      </c>
      <c r="J11" s="116"/>
    </row>
    <row r="12" spans="1:10">
      <c r="A12" s="84">
        <f t="shared" si="2"/>
        <v>7</v>
      </c>
      <c r="B12" s="15" t="s">
        <v>892</v>
      </c>
      <c r="C12" s="15" t="s">
        <v>257</v>
      </c>
      <c r="D12" s="415"/>
      <c r="E12" s="194">
        <v>2.6816110000000002</v>
      </c>
      <c r="F12" s="194">
        <f t="shared" si="1"/>
        <v>2.6816110000000002</v>
      </c>
      <c r="G12" s="85">
        <v>45492</v>
      </c>
      <c r="H12" s="85">
        <v>45492</v>
      </c>
      <c r="I12" s="85">
        <v>45492</v>
      </c>
      <c r="J12" s="116"/>
    </row>
    <row r="13" spans="1:10">
      <c r="A13" s="84">
        <f t="shared" si="2"/>
        <v>8</v>
      </c>
      <c r="B13" s="15" t="s">
        <v>257</v>
      </c>
      <c r="C13" s="15" t="s">
        <v>674</v>
      </c>
      <c r="D13" s="415"/>
      <c r="E13" s="194">
        <v>4.4183890000000003</v>
      </c>
      <c r="F13" s="194">
        <f t="shared" si="1"/>
        <v>4.4183890000000003</v>
      </c>
      <c r="G13" s="85">
        <v>45503</v>
      </c>
      <c r="H13" s="85">
        <v>45503</v>
      </c>
      <c r="I13" s="85">
        <v>45503</v>
      </c>
      <c r="J13" s="116"/>
    </row>
    <row r="14" spans="1:10">
      <c r="A14" s="84">
        <f t="shared" si="2"/>
        <v>9</v>
      </c>
      <c r="B14" s="15" t="s">
        <v>674</v>
      </c>
      <c r="C14" s="15" t="s">
        <v>258</v>
      </c>
      <c r="D14" s="415" t="s">
        <v>981</v>
      </c>
      <c r="E14" s="194">
        <v>0.41948000000000002</v>
      </c>
      <c r="F14" s="194">
        <f t="shared" si="1"/>
        <v>0.41948000000000002</v>
      </c>
      <c r="G14" s="87">
        <v>45448</v>
      </c>
      <c r="H14" s="87">
        <v>45460</v>
      </c>
      <c r="I14" s="87">
        <v>45460</v>
      </c>
      <c r="J14" s="116"/>
    </row>
    <row r="15" spans="1:10">
      <c r="A15" s="84">
        <f t="shared" si="2"/>
        <v>10</v>
      </c>
      <c r="B15" s="15" t="str">
        <f t="shared" si="0"/>
        <v>6/0</v>
      </c>
      <c r="C15" s="15" t="s">
        <v>261</v>
      </c>
      <c r="D15" s="415" t="s">
        <v>981</v>
      </c>
      <c r="E15" s="194">
        <v>4.9099000000000004</v>
      </c>
      <c r="F15" s="194">
        <f t="shared" si="1"/>
        <v>4.9099000000000004</v>
      </c>
      <c r="G15" s="87">
        <v>45440</v>
      </c>
      <c r="H15" s="87">
        <v>45440</v>
      </c>
      <c r="I15" s="87">
        <v>45440</v>
      </c>
      <c r="J15" s="116"/>
    </row>
    <row r="16" spans="1:10">
      <c r="A16" s="84">
        <f t="shared" si="2"/>
        <v>11</v>
      </c>
      <c r="B16" s="15" t="str">
        <f t="shared" si="0"/>
        <v>7/0</v>
      </c>
      <c r="C16" s="15" t="s">
        <v>262</v>
      </c>
      <c r="D16" s="415" t="s">
        <v>981</v>
      </c>
      <c r="E16" s="194">
        <v>5.0833000000000004</v>
      </c>
      <c r="F16" s="194">
        <f t="shared" si="1"/>
        <v>5.0833000000000004</v>
      </c>
      <c r="G16" s="87">
        <v>45440</v>
      </c>
      <c r="H16" s="87">
        <v>45440</v>
      </c>
      <c r="I16" s="87">
        <v>45440</v>
      </c>
      <c r="J16" s="116"/>
    </row>
    <row r="17" spans="1:10">
      <c r="A17" s="84">
        <f t="shared" si="2"/>
        <v>12</v>
      </c>
      <c r="B17" s="15" t="str">
        <f t="shared" si="0"/>
        <v>8/0</v>
      </c>
      <c r="C17" s="15" t="s">
        <v>263</v>
      </c>
      <c r="D17" s="415" t="s">
        <v>981</v>
      </c>
      <c r="E17" s="194">
        <v>4.9957000000000003</v>
      </c>
      <c r="F17" s="194">
        <f t="shared" si="1"/>
        <v>4.9957000000000003</v>
      </c>
      <c r="G17" s="87">
        <v>45430</v>
      </c>
      <c r="H17" s="87">
        <v>45437</v>
      </c>
      <c r="I17" s="87">
        <v>45437</v>
      </c>
      <c r="J17" s="116"/>
    </row>
    <row r="18" spans="1:10">
      <c r="A18" s="84">
        <f t="shared" si="2"/>
        <v>13</v>
      </c>
      <c r="B18" s="15" t="str">
        <f t="shared" si="0"/>
        <v>9/0</v>
      </c>
      <c r="C18" s="15" t="s">
        <v>264</v>
      </c>
      <c r="D18" s="415" t="s">
        <v>981</v>
      </c>
      <c r="E18" s="194">
        <v>4.9230999999999998</v>
      </c>
      <c r="F18" s="194">
        <f t="shared" si="1"/>
        <v>4.9230999999999998</v>
      </c>
      <c r="G18" s="87">
        <v>45427</v>
      </c>
      <c r="H18" s="87">
        <v>45428</v>
      </c>
      <c r="I18" s="87">
        <v>45428</v>
      </c>
      <c r="J18" s="116"/>
    </row>
    <row r="19" spans="1:10">
      <c r="A19" s="84">
        <f t="shared" si="2"/>
        <v>14</v>
      </c>
      <c r="B19" s="15" t="str">
        <f t="shared" si="0"/>
        <v>10/0</v>
      </c>
      <c r="C19" s="15" t="s">
        <v>265</v>
      </c>
      <c r="D19" s="415" t="s">
        <v>981</v>
      </c>
      <c r="E19" s="194">
        <v>1.0051000000000001</v>
      </c>
      <c r="F19" s="194">
        <f t="shared" si="1"/>
        <v>1.0051000000000001</v>
      </c>
      <c r="G19" s="87">
        <v>45427</v>
      </c>
      <c r="H19" s="87">
        <v>45428</v>
      </c>
      <c r="I19" s="87">
        <v>45428</v>
      </c>
      <c r="J19" s="116"/>
    </row>
    <row r="20" spans="1:10">
      <c r="A20" s="84">
        <f t="shared" si="2"/>
        <v>15</v>
      </c>
      <c r="B20" s="15" t="str">
        <f t="shared" si="0"/>
        <v>11/0</v>
      </c>
      <c r="C20" s="15" t="s">
        <v>266</v>
      </c>
      <c r="D20" s="415" t="s">
        <v>981</v>
      </c>
      <c r="E20" s="194">
        <v>0.24679999999999999</v>
      </c>
      <c r="F20" s="194">
        <f t="shared" si="1"/>
        <v>0.24679999999999999</v>
      </c>
      <c r="G20" s="87">
        <v>45439</v>
      </c>
      <c r="H20" s="87">
        <v>45439</v>
      </c>
      <c r="I20" s="87">
        <v>45441</v>
      </c>
      <c r="J20" s="116" t="s">
        <v>507</v>
      </c>
    </row>
    <row r="21" spans="1:10">
      <c r="A21" s="84">
        <f t="shared" si="2"/>
        <v>16</v>
      </c>
      <c r="B21" s="15" t="str">
        <f t="shared" si="0"/>
        <v>12/0</v>
      </c>
      <c r="C21" s="15" t="s">
        <v>267</v>
      </c>
      <c r="D21" s="415" t="s">
        <v>981</v>
      </c>
      <c r="E21" s="194">
        <v>0.32919999999999999</v>
      </c>
      <c r="F21" s="194">
        <f t="shared" si="1"/>
        <v>0.32919999999999999</v>
      </c>
      <c r="G21" s="87">
        <v>45439</v>
      </c>
      <c r="H21" s="87">
        <v>45439</v>
      </c>
      <c r="I21" s="87">
        <v>45441</v>
      </c>
      <c r="J21" s="116" t="s">
        <v>509</v>
      </c>
    </row>
    <row r="22" spans="1:10">
      <c r="A22" s="84">
        <f t="shared" si="2"/>
        <v>17</v>
      </c>
      <c r="B22" s="15" t="str">
        <f t="shared" si="0"/>
        <v>13/0</v>
      </c>
      <c r="C22" s="15" t="s">
        <v>11</v>
      </c>
      <c r="D22" s="415" t="s">
        <v>981</v>
      </c>
      <c r="E22" s="194">
        <v>0.89790000000000003</v>
      </c>
      <c r="F22" s="194">
        <f t="shared" si="1"/>
        <v>0.89790000000000003</v>
      </c>
      <c r="G22" s="87">
        <v>45439</v>
      </c>
      <c r="H22" s="87">
        <v>45439</v>
      </c>
      <c r="I22" s="87">
        <v>45441</v>
      </c>
      <c r="J22" s="116"/>
    </row>
    <row r="23" spans="1:10">
      <c r="A23" s="84">
        <f t="shared" si="2"/>
        <v>18</v>
      </c>
      <c r="B23" s="15" t="str">
        <f t="shared" si="0"/>
        <v>14/0</v>
      </c>
      <c r="C23" s="15" t="s">
        <v>167</v>
      </c>
      <c r="D23" s="415"/>
      <c r="E23" s="194">
        <v>0.224</v>
      </c>
      <c r="F23" s="194">
        <f t="shared" si="1"/>
        <v>0.224</v>
      </c>
      <c r="G23" s="87">
        <v>45439</v>
      </c>
      <c r="H23" s="87">
        <v>45439</v>
      </c>
      <c r="I23" s="87">
        <v>45441</v>
      </c>
      <c r="J23" s="116" t="s">
        <v>508</v>
      </c>
    </row>
    <row r="24" spans="1:10">
      <c r="A24" s="84">
        <f t="shared" si="2"/>
        <v>19</v>
      </c>
      <c r="B24" s="15" t="str">
        <f t="shared" si="0"/>
        <v>15/0</v>
      </c>
      <c r="C24" s="15" t="s">
        <v>12</v>
      </c>
      <c r="D24" s="415" t="s">
        <v>981</v>
      </c>
      <c r="E24" s="195">
        <v>5.0201000000000002</v>
      </c>
      <c r="F24" s="194">
        <f t="shared" si="1"/>
        <v>5.0201000000000002</v>
      </c>
      <c r="G24" s="87">
        <v>45439</v>
      </c>
      <c r="H24" s="87">
        <v>45439</v>
      </c>
      <c r="I24" s="87">
        <v>45441</v>
      </c>
      <c r="J24" s="116" t="s">
        <v>516</v>
      </c>
    </row>
    <row r="25" spans="1:10" s="308" customFormat="1">
      <c r="A25" s="84">
        <f t="shared" si="2"/>
        <v>20</v>
      </c>
      <c r="B25" s="15" t="str">
        <f t="shared" si="0"/>
        <v>16/0</v>
      </c>
      <c r="C25" s="15" t="s">
        <v>13</v>
      </c>
      <c r="D25" s="415"/>
      <c r="E25" s="194">
        <v>0.3861</v>
      </c>
      <c r="F25" s="194">
        <f t="shared" si="1"/>
        <v>0.3861</v>
      </c>
      <c r="G25" s="87">
        <v>45448</v>
      </c>
      <c r="H25" s="87">
        <v>45499</v>
      </c>
      <c r="I25" s="87">
        <v>45499</v>
      </c>
      <c r="J25" s="116"/>
    </row>
    <row r="26" spans="1:10" s="308" customFormat="1">
      <c r="A26" s="84">
        <f t="shared" si="2"/>
        <v>21</v>
      </c>
      <c r="B26" s="15" t="str">
        <f t="shared" si="0"/>
        <v>17/0</v>
      </c>
      <c r="C26" s="15" t="s">
        <v>51</v>
      </c>
      <c r="D26" s="415"/>
      <c r="E26" s="194">
        <v>0.41139999999999999</v>
      </c>
      <c r="F26" s="194">
        <f t="shared" si="1"/>
        <v>0.41139999999999999</v>
      </c>
      <c r="G26" s="87">
        <v>45448</v>
      </c>
      <c r="H26" s="87">
        <v>45499</v>
      </c>
      <c r="I26" s="87">
        <v>45499</v>
      </c>
      <c r="J26" s="116"/>
    </row>
    <row r="27" spans="1:10" s="308" customFormat="1">
      <c r="A27" s="84">
        <f t="shared" si="2"/>
        <v>22</v>
      </c>
      <c r="B27" s="15" t="str">
        <f t="shared" si="0"/>
        <v>18/0</v>
      </c>
      <c r="C27" s="15" t="s">
        <v>52</v>
      </c>
      <c r="D27" s="415"/>
      <c r="E27" s="194">
        <v>3.0234000000000001</v>
      </c>
      <c r="F27" s="194">
        <f t="shared" si="1"/>
        <v>3.0234000000000001</v>
      </c>
      <c r="G27" s="87">
        <v>45448</v>
      </c>
      <c r="H27" s="87">
        <v>45499</v>
      </c>
      <c r="I27" s="87">
        <v>45499</v>
      </c>
      <c r="J27" s="116"/>
    </row>
    <row r="28" spans="1:10" s="308" customFormat="1" ht="29">
      <c r="A28" s="84">
        <f t="shared" si="2"/>
        <v>23</v>
      </c>
      <c r="B28" s="15" t="str">
        <f t="shared" si="0"/>
        <v>19/0</v>
      </c>
      <c r="C28" s="15" t="s">
        <v>53</v>
      </c>
      <c r="D28" s="415"/>
      <c r="E28" s="194">
        <v>0.27950000000000003</v>
      </c>
      <c r="F28" s="194">
        <f t="shared" si="1"/>
        <v>0.27950000000000003</v>
      </c>
      <c r="G28" s="87">
        <v>45448</v>
      </c>
      <c r="H28" s="87">
        <v>45499</v>
      </c>
      <c r="I28" s="87">
        <v>45499</v>
      </c>
      <c r="J28" s="116" t="s">
        <v>510</v>
      </c>
    </row>
    <row r="29" spans="1:10" s="308" customFormat="1">
      <c r="A29" s="84">
        <f t="shared" si="2"/>
        <v>24</v>
      </c>
      <c r="B29" s="15" t="str">
        <f t="shared" si="0"/>
        <v>20/0</v>
      </c>
      <c r="C29" s="15" t="s">
        <v>54</v>
      </c>
      <c r="D29" s="415"/>
      <c r="E29" s="194">
        <v>2.5514000000000001</v>
      </c>
      <c r="F29" s="194">
        <f t="shared" si="1"/>
        <v>2.5514000000000001</v>
      </c>
      <c r="G29" s="87">
        <v>45448</v>
      </c>
      <c r="H29" s="87">
        <v>45499</v>
      </c>
      <c r="I29" s="87">
        <v>45499</v>
      </c>
      <c r="J29" s="116"/>
    </row>
    <row r="30" spans="1:10" s="308" customFormat="1">
      <c r="A30" s="84">
        <f t="shared" si="2"/>
        <v>25</v>
      </c>
      <c r="B30" s="15" t="str">
        <f t="shared" si="0"/>
        <v>21/0</v>
      </c>
      <c r="C30" s="15" t="s">
        <v>55</v>
      </c>
      <c r="D30" s="15"/>
      <c r="E30" s="195">
        <v>2.2835000000000001</v>
      </c>
      <c r="F30" s="194">
        <f t="shared" si="1"/>
        <v>2.2835000000000001</v>
      </c>
      <c r="G30" s="87">
        <v>45448</v>
      </c>
      <c r="H30" s="87">
        <v>45499</v>
      </c>
      <c r="I30" s="87">
        <v>45499</v>
      </c>
      <c r="J30" s="116"/>
    </row>
    <row r="31" spans="1:10" s="308" customFormat="1" ht="15.75" customHeight="1">
      <c r="A31" s="84">
        <f t="shared" si="2"/>
        <v>26</v>
      </c>
      <c r="B31" s="15" t="str">
        <f t="shared" si="0"/>
        <v>22/0</v>
      </c>
      <c r="C31" s="15" t="s">
        <v>56</v>
      </c>
      <c r="D31" s="15"/>
      <c r="E31" s="195">
        <v>0.25940000000000002</v>
      </c>
      <c r="F31" s="194">
        <f t="shared" si="1"/>
        <v>0.25940000000000002</v>
      </c>
      <c r="G31" s="87">
        <v>45448</v>
      </c>
      <c r="H31" s="87">
        <v>45499</v>
      </c>
      <c r="I31" s="87">
        <v>45499</v>
      </c>
      <c r="J31" s="116" t="s">
        <v>511</v>
      </c>
    </row>
    <row r="32" spans="1:10" s="308" customFormat="1" ht="15.75" customHeight="1">
      <c r="A32" s="84">
        <f t="shared" si="2"/>
        <v>27</v>
      </c>
      <c r="B32" s="15" t="str">
        <f t="shared" si="0"/>
        <v>23/0</v>
      </c>
      <c r="C32" s="15" t="s">
        <v>57</v>
      </c>
      <c r="D32" s="15"/>
      <c r="E32" s="195">
        <v>0.92849999999999999</v>
      </c>
      <c r="F32" s="194">
        <f t="shared" si="1"/>
        <v>0.92849999999999999</v>
      </c>
      <c r="G32" s="85">
        <v>45455</v>
      </c>
      <c r="H32" s="87">
        <v>45499</v>
      </c>
      <c r="I32" s="87">
        <v>45499</v>
      </c>
      <c r="J32" s="446"/>
    </row>
    <row r="33" spans="1:10" s="308" customFormat="1">
      <c r="A33" s="84">
        <f t="shared" si="2"/>
        <v>28</v>
      </c>
      <c r="B33" s="15" t="str">
        <f t="shared" si="0"/>
        <v>24/0</v>
      </c>
      <c r="C33" s="416" t="s">
        <v>58</v>
      </c>
      <c r="D33" s="416"/>
      <c r="E33" s="195">
        <v>0.25209999999999999</v>
      </c>
      <c r="F33" s="194">
        <f t="shared" si="1"/>
        <v>0.25209999999999999</v>
      </c>
      <c r="G33" s="85">
        <v>45455</v>
      </c>
      <c r="H33" s="87">
        <v>45499</v>
      </c>
      <c r="I33" s="87">
        <v>45499</v>
      </c>
      <c r="J33" s="116" t="s">
        <v>512</v>
      </c>
    </row>
    <row r="34" spans="1:10" s="308" customFormat="1">
      <c r="A34" s="84">
        <f t="shared" si="2"/>
        <v>29</v>
      </c>
      <c r="B34" s="15" t="str">
        <f t="shared" si="0"/>
        <v>25/0</v>
      </c>
      <c r="C34" s="416" t="s">
        <v>59</v>
      </c>
      <c r="D34" s="416"/>
      <c r="E34" s="195">
        <v>0.2374</v>
      </c>
      <c r="F34" s="194">
        <f t="shared" si="1"/>
        <v>0.2374</v>
      </c>
      <c r="G34" s="85">
        <v>45455</v>
      </c>
      <c r="H34" s="87">
        <v>45499</v>
      </c>
      <c r="I34" s="87">
        <v>45499</v>
      </c>
      <c r="J34" s="116"/>
    </row>
    <row r="35" spans="1:10" s="308" customFormat="1" ht="29">
      <c r="A35" s="84">
        <f t="shared" si="2"/>
        <v>30</v>
      </c>
      <c r="B35" s="15" t="str">
        <f t="shared" si="0"/>
        <v>26/0</v>
      </c>
      <c r="C35" s="416" t="s">
        <v>60</v>
      </c>
      <c r="D35" s="416"/>
      <c r="E35" s="195">
        <v>0.20399999999999999</v>
      </c>
      <c r="F35" s="194">
        <f t="shared" si="1"/>
        <v>0.20399999999999999</v>
      </c>
      <c r="G35" s="85">
        <v>45455</v>
      </c>
      <c r="H35" s="87">
        <v>45499</v>
      </c>
      <c r="I35" s="87">
        <v>45499</v>
      </c>
      <c r="J35" s="116" t="s">
        <v>513</v>
      </c>
    </row>
    <row r="36" spans="1:10" s="308" customFormat="1">
      <c r="A36" s="84">
        <f t="shared" si="2"/>
        <v>31</v>
      </c>
      <c r="B36" s="15" t="str">
        <f t="shared" si="0"/>
        <v>27/0</v>
      </c>
      <c r="C36" s="416" t="s">
        <v>63</v>
      </c>
      <c r="D36" s="416"/>
      <c r="E36" s="195">
        <v>2.5476000000000001</v>
      </c>
      <c r="F36" s="194">
        <f t="shared" si="1"/>
        <v>2.5476000000000001</v>
      </c>
      <c r="G36" s="85">
        <v>45455</v>
      </c>
      <c r="H36" s="87">
        <v>45499</v>
      </c>
      <c r="I36" s="87">
        <v>45499</v>
      </c>
      <c r="J36" s="116"/>
    </row>
    <row r="37" spans="1:10" s="308" customFormat="1">
      <c r="A37" s="84">
        <f t="shared" si="2"/>
        <v>32</v>
      </c>
      <c r="B37" s="15" t="str">
        <f t="shared" si="0"/>
        <v>28/0</v>
      </c>
      <c r="C37" s="416" t="s">
        <v>64</v>
      </c>
      <c r="D37" s="416"/>
      <c r="E37" s="195">
        <v>0.21179999999999999</v>
      </c>
      <c r="F37" s="194">
        <f t="shared" si="1"/>
        <v>0.21179999999999999</v>
      </c>
      <c r="G37" s="85">
        <v>45455</v>
      </c>
      <c r="H37" s="87">
        <v>45499</v>
      </c>
      <c r="I37" s="87">
        <v>45499</v>
      </c>
      <c r="J37" s="116" t="s">
        <v>514</v>
      </c>
    </row>
    <row r="38" spans="1:10" s="308" customFormat="1">
      <c r="A38" s="84">
        <f t="shared" si="2"/>
        <v>33</v>
      </c>
      <c r="B38" s="15" t="str">
        <f t="shared" si="0"/>
        <v>29/0</v>
      </c>
      <c r="C38" s="416" t="s">
        <v>65</v>
      </c>
      <c r="D38" s="416"/>
      <c r="E38" s="195">
        <v>4.9546999999999999</v>
      </c>
      <c r="F38" s="194">
        <f t="shared" si="1"/>
        <v>4.9546999999999999</v>
      </c>
      <c r="G38" s="85">
        <v>45455</v>
      </c>
      <c r="H38" s="87">
        <v>45499</v>
      </c>
      <c r="I38" s="87">
        <v>45499</v>
      </c>
      <c r="J38" s="116"/>
    </row>
    <row r="39" spans="1:10" s="308" customFormat="1">
      <c r="A39" s="84">
        <f t="shared" si="2"/>
        <v>34</v>
      </c>
      <c r="B39" s="15" t="str">
        <f t="shared" si="0"/>
        <v>30/0</v>
      </c>
      <c r="C39" s="416" t="s">
        <v>9</v>
      </c>
      <c r="D39" s="416"/>
      <c r="E39" s="195">
        <v>4.2188999999999997</v>
      </c>
      <c r="F39" s="194">
        <f t="shared" si="1"/>
        <v>4.2188999999999997</v>
      </c>
      <c r="G39" s="85">
        <v>45455</v>
      </c>
      <c r="H39" s="87">
        <v>45499</v>
      </c>
      <c r="I39" s="87">
        <v>45499</v>
      </c>
      <c r="J39" s="116"/>
    </row>
    <row r="40" spans="1:10" s="308" customFormat="1">
      <c r="A40" s="84">
        <f t="shared" si="2"/>
        <v>35</v>
      </c>
      <c r="B40" s="15" t="str">
        <f t="shared" si="0"/>
        <v>31/0</v>
      </c>
      <c r="C40" s="416" t="s">
        <v>10</v>
      </c>
      <c r="D40" s="416"/>
      <c r="E40" s="195">
        <v>4.3323</v>
      </c>
      <c r="F40" s="194">
        <f t="shared" si="1"/>
        <v>4.3323</v>
      </c>
      <c r="G40" s="85">
        <v>45455</v>
      </c>
      <c r="H40" s="87">
        <v>45499</v>
      </c>
      <c r="I40" s="87">
        <v>45499</v>
      </c>
      <c r="J40" s="116"/>
    </row>
    <row r="41" spans="1:10" s="308" customFormat="1">
      <c r="A41" s="84">
        <f t="shared" si="2"/>
        <v>36</v>
      </c>
      <c r="B41" s="15" t="str">
        <f t="shared" si="0"/>
        <v>32/0</v>
      </c>
      <c r="C41" s="15" t="s">
        <v>67</v>
      </c>
      <c r="D41" s="416"/>
      <c r="E41" s="195">
        <v>4.1241000000000003</v>
      </c>
      <c r="F41" s="194">
        <f t="shared" si="1"/>
        <v>4.1241000000000003</v>
      </c>
      <c r="G41" s="39">
        <v>45502</v>
      </c>
      <c r="H41" s="39">
        <v>45516</v>
      </c>
      <c r="I41" s="463">
        <v>45516</v>
      </c>
      <c r="J41" s="116" t="s">
        <v>518</v>
      </c>
    </row>
    <row r="42" spans="1:10" s="308" customFormat="1">
      <c r="A42" s="84">
        <f t="shared" si="2"/>
        <v>37</v>
      </c>
      <c r="B42" s="15" t="str">
        <f t="shared" si="0"/>
        <v>33/0</v>
      </c>
      <c r="C42" s="15" t="s">
        <v>166</v>
      </c>
      <c r="D42" s="416"/>
      <c r="E42" s="195">
        <f>4049.76/1000</f>
        <v>4.04976</v>
      </c>
      <c r="F42" s="194">
        <f t="shared" si="1"/>
        <v>4.04976</v>
      </c>
      <c r="G42" s="39">
        <v>45502</v>
      </c>
      <c r="H42" s="39">
        <v>45502</v>
      </c>
      <c r="I42" s="39">
        <v>45502</v>
      </c>
      <c r="J42" s="116"/>
    </row>
    <row r="43" spans="1:10" s="308" customFormat="1">
      <c r="A43" s="84">
        <f t="shared" si="2"/>
        <v>38</v>
      </c>
      <c r="B43" s="15" t="str">
        <f t="shared" si="0"/>
        <v>34/0</v>
      </c>
      <c r="C43" s="15" t="s">
        <v>71</v>
      </c>
      <c r="D43" s="416"/>
      <c r="E43" s="195">
        <f>4898.59/1000</f>
        <v>4.8985900000000004</v>
      </c>
      <c r="F43" s="194">
        <f t="shared" si="1"/>
        <v>4.8985900000000004</v>
      </c>
      <c r="G43" s="39">
        <v>45502</v>
      </c>
      <c r="H43" s="39">
        <v>45502</v>
      </c>
      <c r="I43" s="39">
        <v>45502</v>
      </c>
      <c r="J43" s="116"/>
    </row>
    <row r="44" spans="1:10" s="308" customFormat="1">
      <c r="A44" s="84">
        <f t="shared" si="2"/>
        <v>39</v>
      </c>
      <c r="B44" s="15" t="str">
        <f t="shared" si="0"/>
        <v>35/0</v>
      </c>
      <c r="C44" s="15" t="s">
        <v>8</v>
      </c>
      <c r="D44" s="416"/>
      <c r="E44" s="195">
        <f>4916.35/1000</f>
        <v>4.9163500000000004</v>
      </c>
      <c r="F44" s="194">
        <f t="shared" si="1"/>
        <v>4.9163500000000004</v>
      </c>
      <c r="G44" s="39">
        <v>45502</v>
      </c>
      <c r="H44" s="39">
        <v>45502</v>
      </c>
      <c r="I44" s="39">
        <v>45502</v>
      </c>
      <c r="J44" s="116"/>
    </row>
    <row r="45" spans="1:10" s="308" customFormat="1">
      <c r="A45" s="84">
        <f t="shared" si="2"/>
        <v>40</v>
      </c>
      <c r="B45" s="15" t="str">
        <f t="shared" si="0"/>
        <v>36/0</v>
      </c>
      <c r="C45" s="15" t="s">
        <v>168</v>
      </c>
      <c r="D45" s="417"/>
      <c r="E45" s="194">
        <f>1745.52/1000</f>
        <v>1.74552</v>
      </c>
      <c r="F45" s="194">
        <f t="shared" si="1"/>
        <v>1.74552</v>
      </c>
      <c r="G45" s="39">
        <v>45502</v>
      </c>
      <c r="H45" s="39">
        <v>45502</v>
      </c>
      <c r="I45" s="39">
        <v>45502</v>
      </c>
      <c r="J45" s="447"/>
    </row>
    <row r="46" spans="1:10" s="308" customFormat="1">
      <c r="A46" s="84">
        <f t="shared" si="2"/>
        <v>41</v>
      </c>
      <c r="B46" s="15" t="str">
        <f t="shared" si="0"/>
        <v>37/0</v>
      </c>
      <c r="C46" s="15" t="s">
        <v>777</v>
      </c>
      <c r="D46" s="416"/>
      <c r="E46" s="195">
        <f>2496.39/1000</f>
        <v>2.4963899999999999</v>
      </c>
      <c r="F46" s="194">
        <f t="shared" si="1"/>
        <v>2.4963899999999999</v>
      </c>
      <c r="G46" s="39">
        <v>45502</v>
      </c>
      <c r="H46" s="39">
        <v>45502</v>
      </c>
      <c r="I46" s="39">
        <v>45502</v>
      </c>
      <c r="J46" s="116"/>
    </row>
    <row r="47" spans="1:10" s="308" customFormat="1">
      <c r="A47" s="84">
        <f t="shared" si="2"/>
        <v>42</v>
      </c>
      <c r="B47" s="15" t="str">
        <f t="shared" si="0"/>
        <v>37A/0</v>
      </c>
      <c r="C47" s="15" t="s">
        <v>72</v>
      </c>
      <c r="D47" s="416"/>
      <c r="E47" s="195">
        <f>2583.59/1000</f>
        <v>2.5835900000000001</v>
      </c>
      <c r="F47" s="194">
        <f t="shared" si="1"/>
        <v>2.5835900000000001</v>
      </c>
      <c r="G47" s="39">
        <v>45502</v>
      </c>
      <c r="H47" s="39">
        <v>45502</v>
      </c>
      <c r="I47" s="39">
        <v>45502</v>
      </c>
      <c r="J47" s="116"/>
    </row>
    <row r="48" spans="1:10" s="308" customFormat="1">
      <c r="A48" s="84">
        <f t="shared" si="2"/>
        <v>43</v>
      </c>
      <c r="B48" s="15" t="str">
        <f t="shared" si="0"/>
        <v>38/0</v>
      </c>
      <c r="C48" s="15" t="s">
        <v>73</v>
      </c>
      <c r="D48" s="416"/>
      <c r="E48" s="195">
        <f>4163.68/1000</f>
        <v>4.1636800000000003</v>
      </c>
      <c r="F48" s="194">
        <f t="shared" si="1"/>
        <v>4.1636800000000003</v>
      </c>
      <c r="G48" s="39">
        <v>45502</v>
      </c>
      <c r="H48" s="39">
        <v>45502</v>
      </c>
      <c r="I48" s="39">
        <v>45502</v>
      </c>
      <c r="J48" s="116"/>
    </row>
    <row r="49" spans="1:10" s="308" customFormat="1">
      <c r="A49" s="84">
        <f t="shared" si="2"/>
        <v>44</v>
      </c>
      <c r="B49" s="15" t="str">
        <f t="shared" si="0"/>
        <v>39/0</v>
      </c>
      <c r="C49" s="15" t="s">
        <v>74</v>
      </c>
      <c r="D49" s="416"/>
      <c r="E49" s="195">
        <f>4716.81/1000</f>
        <v>4.7168100000000006</v>
      </c>
      <c r="F49" s="194">
        <f t="shared" si="1"/>
        <v>4.7168100000000006</v>
      </c>
      <c r="G49" s="39">
        <v>45502</v>
      </c>
      <c r="H49" s="39">
        <v>45502</v>
      </c>
      <c r="I49" s="39">
        <v>45502</v>
      </c>
      <c r="J49" s="116"/>
    </row>
    <row r="50" spans="1:10" s="308" customFormat="1">
      <c r="A50" s="84">
        <f t="shared" si="2"/>
        <v>45</v>
      </c>
      <c r="B50" s="15" t="str">
        <f t="shared" si="0"/>
        <v>40/0</v>
      </c>
      <c r="C50" s="15" t="s">
        <v>640</v>
      </c>
      <c r="D50" s="416"/>
      <c r="E50" s="195">
        <f>4665.92/1000</f>
        <v>4.6659199999999998</v>
      </c>
      <c r="F50" s="194">
        <f t="shared" si="1"/>
        <v>4.6659199999999998</v>
      </c>
      <c r="G50" s="39">
        <v>45502</v>
      </c>
      <c r="H50" s="39">
        <v>45502</v>
      </c>
      <c r="I50" s="39">
        <v>45502</v>
      </c>
      <c r="J50" s="116"/>
    </row>
    <row r="51" spans="1:10" s="308" customFormat="1">
      <c r="A51" s="84">
        <f t="shared" si="2"/>
        <v>46</v>
      </c>
      <c r="B51" s="15" t="str">
        <f t="shared" si="0"/>
        <v>40A/0</v>
      </c>
      <c r="C51" s="15" t="s">
        <v>75</v>
      </c>
      <c r="D51" s="416"/>
      <c r="E51" s="195">
        <f>410.607/1000</f>
        <v>0.41060700000000006</v>
      </c>
      <c r="F51" s="194">
        <f t="shared" si="1"/>
        <v>0.41060700000000006</v>
      </c>
      <c r="G51" s="39">
        <v>45502</v>
      </c>
      <c r="H51" s="39">
        <v>45502</v>
      </c>
      <c r="I51" s="39">
        <v>45502</v>
      </c>
      <c r="J51" s="116"/>
    </row>
    <row r="52" spans="1:10" s="308" customFormat="1">
      <c r="A52" s="84">
        <f t="shared" si="2"/>
        <v>47</v>
      </c>
      <c r="B52" s="15" t="str">
        <f t="shared" si="0"/>
        <v>41/0</v>
      </c>
      <c r="C52" s="15" t="s">
        <v>77</v>
      </c>
      <c r="D52" s="416"/>
      <c r="E52" s="195">
        <f>823.782/1000</f>
        <v>0.82378200000000001</v>
      </c>
      <c r="F52" s="194">
        <f t="shared" si="1"/>
        <v>0.82378200000000001</v>
      </c>
      <c r="G52" s="39">
        <v>45502</v>
      </c>
      <c r="H52" s="39">
        <v>45502</v>
      </c>
      <c r="I52" s="39">
        <v>45502</v>
      </c>
      <c r="J52" s="116"/>
    </row>
    <row r="53" spans="1:10" s="308" customFormat="1">
      <c r="A53" s="84">
        <f t="shared" si="2"/>
        <v>48</v>
      </c>
      <c r="B53" s="15" t="str">
        <f t="shared" si="0"/>
        <v>42/0</v>
      </c>
      <c r="C53" s="15" t="s">
        <v>78</v>
      </c>
      <c r="D53" s="418"/>
      <c r="E53" s="267">
        <f>1683.889/1000</f>
        <v>1.683889</v>
      </c>
      <c r="F53" s="194">
        <f t="shared" si="1"/>
        <v>1.683889</v>
      </c>
      <c r="G53" s="39">
        <v>45502</v>
      </c>
      <c r="H53" s="39">
        <v>45502</v>
      </c>
      <c r="I53" s="39">
        <v>45502</v>
      </c>
      <c r="J53" s="448"/>
    </row>
    <row r="54" spans="1:10" s="308" customFormat="1">
      <c r="A54" s="84">
        <f t="shared" si="2"/>
        <v>49</v>
      </c>
      <c r="B54" s="15" t="str">
        <f t="shared" si="0"/>
        <v>43/0</v>
      </c>
      <c r="C54" s="15" t="s">
        <v>7</v>
      </c>
      <c r="D54" s="418"/>
      <c r="E54" s="267">
        <f>3436.41/1000</f>
        <v>3.43641</v>
      </c>
      <c r="F54" s="194">
        <f t="shared" si="1"/>
        <v>3.43641</v>
      </c>
      <c r="G54" s="39">
        <v>45502</v>
      </c>
      <c r="H54" s="39">
        <v>45502</v>
      </c>
      <c r="I54" s="39">
        <v>45502</v>
      </c>
      <c r="J54" s="448"/>
    </row>
    <row r="55" spans="1:10" s="308" customFormat="1">
      <c r="A55" s="84">
        <f t="shared" si="2"/>
        <v>50</v>
      </c>
      <c r="B55" s="15" t="s">
        <v>7</v>
      </c>
      <c r="C55" s="15" t="s">
        <v>1247</v>
      </c>
      <c r="D55" s="418"/>
      <c r="E55" s="267">
        <f>2591.68/1000</f>
        <v>2.5916799999999998</v>
      </c>
      <c r="F55" s="194">
        <f t="shared" si="1"/>
        <v>2.5916799999999998</v>
      </c>
      <c r="G55" s="39">
        <v>45708</v>
      </c>
      <c r="H55" s="39">
        <v>45708</v>
      </c>
      <c r="I55" s="39">
        <v>45708</v>
      </c>
      <c r="J55" s="448"/>
    </row>
    <row r="56" spans="1:10" s="308" customFormat="1">
      <c r="A56" s="767"/>
      <c r="B56" s="15"/>
      <c r="C56" s="15"/>
      <c r="D56" s="418"/>
      <c r="E56" s="267"/>
      <c r="F56" s="267"/>
      <c r="G56" s="39"/>
      <c r="H56" s="39"/>
      <c r="I56" s="268"/>
      <c r="J56" s="448"/>
    </row>
    <row r="57" spans="1:10" s="308" customFormat="1">
      <c r="A57" s="767"/>
      <c r="B57" s="15"/>
      <c r="C57" s="15"/>
      <c r="D57" s="418"/>
      <c r="E57" s="267"/>
      <c r="F57" s="267"/>
      <c r="G57" s="39"/>
      <c r="H57" s="39"/>
      <c r="I57" s="268"/>
      <c r="J57" s="448"/>
    </row>
    <row r="58" spans="1:10" s="308" customFormat="1">
      <c r="A58" s="767"/>
      <c r="B58" s="15"/>
      <c r="C58" s="15"/>
      <c r="D58" s="418"/>
      <c r="E58" s="267"/>
      <c r="F58" s="267"/>
      <c r="G58" s="39"/>
      <c r="H58" s="39"/>
      <c r="I58" s="268"/>
      <c r="J58" s="448"/>
    </row>
    <row r="59" spans="1:10" s="308" customFormat="1">
      <c r="A59" s="767"/>
      <c r="B59" s="15"/>
      <c r="C59" s="15"/>
      <c r="D59" s="418"/>
      <c r="E59" s="267"/>
      <c r="F59" s="267"/>
      <c r="G59" s="39"/>
      <c r="H59" s="39"/>
      <c r="I59" s="268"/>
      <c r="J59" s="448"/>
    </row>
    <row r="60" spans="1:10" s="308" customFormat="1">
      <c r="A60" s="767"/>
      <c r="B60" s="15"/>
      <c r="C60" s="15"/>
      <c r="D60" s="418"/>
      <c r="E60" s="267"/>
      <c r="F60" s="267"/>
      <c r="G60" s="39"/>
      <c r="H60" s="39"/>
      <c r="I60" s="268"/>
      <c r="J60" s="448"/>
    </row>
    <row r="61" spans="1:10" s="308" customFormat="1">
      <c r="A61" s="767"/>
      <c r="B61" s="15"/>
      <c r="C61" s="15"/>
      <c r="D61" s="418"/>
      <c r="E61" s="267"/>
      <c r="F61" s="267"/>
      <c r="G61" s="39"/>
      <c r="H61" s="39"/>
      <c r="I61" s="268"/>
      <c r="J61" s="448"/>
    </row>
    <row r="62" spans="1:10">
      <c r="A62" s="15"/>
      <c r="B62" s="15"/>
      <c r="C62" s="419"/>
      <c r="D62" s="420"/>
      <c r="E62" s="267"/>
      <c r="F62" s="267"/>
      <c r="G62" s="39"/>
      <c r="H62" s="39"/>
      <c r="I62" s="268"/>
      <c r="J62" s="448"/>
    </row>
    <row r="63" spans="1:10" ht="15" thickBot="1">
      <c r="A63" s="272"/>
      <c r="B63" s="272"/>
      <c r="C63" s="420"/>
      <c r="D63" s="420"/>
      <c r="E63" s="267"/>
      <c r="F63" s="267"/>
      <c r="G63" s="39"/>
      <c r="H63" s="39"/>
      <c r="I63" s="268"/>
      <c r="J63" s="448"/>
    </row>
    <row r="64" spans="1:10" ht="15" thickBot="1">
      <c r="A64" s="273" t="s">
        <v>81</v>
      </c>
      <c r="B64" s="274"/>
      <c r="C64" s="275"/>
      <c r="D64" s="275"/>
      <c r="E64" s="276">
        <f>SUBTOTAL(9,E6:E55)</f>
        <v>117.84802299999998</v>
      </c>
      <c r="F64" s="276">
        <f>SUBTOTAL(9,F6:F55)</f>
        <v>117.84802299999998</v>
      </c>
      <c r="G64" s="277"/>
      <c r="H64" s="277"/>
      <c r="I64" s="278"/>
      <c r="J64" s="449"/>
    </row>
    <row r="65" spans="6:10">
      <c r="J65" s="450"/>
    </row>
    <row r="66" spans="6:10">
      <c r="J66" s="450"/>
    </row>
    <row r="67" spans="6:10">
      <c r="F67" s="11"/>
      <c r="J67" s="450"/>
    </row>
    <row r="68" spans="6:10">
      <c r="J68" s="450"/>
    </row>
    <row r="69" spans="6:10">
      <c r="J69" s="450"/>
    </row>
    <row r="70" spans="6:10">
      <c r="J70" s="450"/>
    </row>
    <row r="71" spans="6:10">
      <c r="J71" s="450"/>
    </row>
    <row r="72" spans="6:10">
      <c r="J72" s="450"/>
    </row>
    <row r="73" spans="6:10">
      <c r="J73" s="450"/>
    </row>
    <row r="74" spans="6:10">
      <c r="J74" s="450"/>
    </row>
    <row r="75" spans="6:10">
      <c r="J75" s="450"/>
    </row>
    <row r="76" spans="6:10">
      <c r="J76" s="450"/>
    </row>
    <row r="77" spans="6:10">
      <c r="J77" s="450"/>
    </row>
    <row r="78" spans="6:10">
      <c r="J78" s="450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607" t="s">
        <v>120</v>
      </c>
      <c r="B1" s="1608"/>
      <c r="C1" s="1608"/>
      <c r="D1" s="1608"/>
      <c r="E1" s="1608"/>
      <c r="F1" s="1608"/>
      <c r="G1" s="1609"/>
    </row>
    <row r="2" spans="1:7" ht="15.5">
      <c r="A2" s="1598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8"/>
      <c r="C2" s="1578"/>
      <c r="D2" s="1578"/>
      <c r="E2" s="1578"/>
      <c r="F2" s="1578"/>
      <c r="G2" s="1610"/>
    </row>
    <row r="3" spans="1:7" ht="15.5">
      <c r="A3" s="1601" t="s">
        <v>40</v>
      </c>
      <c r="B3" s="1602"/>
      <c r="C3" s="1602"/>
      <c r="D3" s="1602"/>
      <c r="E3" s="1602"/>
      <c r="F3" s="1603"/>
      <c r="G3" s="83" t="str">
        <f>TA413_PBNTL!M1</f>
        <v>26.06.2026</v>
      </c>
    </row>
    <row r="4" spans="1:7" ht="15" customHeight="1">
      <c r="A4" s="1611" t="s">
        <v>20</v>
      </c>
      <c r="B4" s="1594" t="s">
        <v>21</v>
      </c>
      <c r="C4" s="1595"/>
      <c r="D4" s="1612" t="s">
        <v>39</v>
      </c>
      <c r="E4" s="1596" t="s">
        <v>23</v>
      </c>
      <c r="F4" s="1612" t="s">
        <v>248</v>
      </c>
      <c r="G4" s="1599" t="s">
        <v>1</v>
      </c>
    </row>
    <row r="5" spans="1:7">
      <c r="A5" s="1611"/>
      <c r="B5" s="12" t="s">
        <v>24</v>
      </c>
      <c r="C5" s="12" t="s">
        <v>25</v>
      </c>
      <c r="D5" s="1612"/>
      <c r="E5" s="1597"/>
      <c r="F5" s="1612"/>
      <c r="G5" s="1600"/>
    </row>
    <row r="6" spans="1:7" ht="16.5" customHeight="1">
      <c r="A6" s="84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93">
        <v>45709</v>
      </c>
      <c r="F6" s="993">
        <v>45709</v>
      </c>
      <c r="G6" s="16"/>
    </row>
    <row r="7" spans="1:7" ht="16.5" customHeight="1">
      <c r="A7" s="84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93">
        <v>45709</v>
      </c>
      <c r="F7" s="993">
        <v>45709</v>
      </c>
      <c r="G7" s="16"/>
    </row>
    <row r="8" spans="1:7" ht="16.5" customHeight="1">
      <c r="A8" s="84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93">
        <v>45709</v>
      </c>
      <c r="F8" s="993">
        <v>45709</v>
      </c>
      <c r="G8" s="18"/>
    </row>
    <row r="9" spans="1:7" ht="16.5" customHeight="1">
      <c r="A9" s="84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5">
        <f>'Detailed Survey '!F9</f>
        <v>2.6909999999999998</v>
      </c>
      <c r="E9" s="993">
        <v>45709</v>
      </c>
      <c r="F9" s="993">
        <v>45709</v>
      </c>
      <c r="G9" s="16"/>
    </row>
    <row r="10" spans="1:7" ht="16.5" customHeight="1">
      <c r="A10" s="84">
        <f t="shared" si="0"/>
        <v>5</v>
      </c>
      <c r="B10" s="15" t="s">
        <v>1265</v>
      </c>
      <c r="C10" s="15" t="s">
        <v>256</v>
      </c>
      <c r="D10" s="415">
        <v>1.627</v>
      </c>
      <c r="E10" s="993">
        <v>45709</v>
      </c>
      <c r="F10" s="993">
        <v>45709</v>
      </c>
      <c r="G10" s="16"/>
    </row>
    <row r="11" spans="1:7" ht="16.5" customHeight="1">
      <c r="A11" s="84">
        <f t="shared" si="0"/>
        <v>6</v>
      </c>
      <c r="B11" s="15" t="s">
        <v>256</v>
      </c>
      <c r="C11" s="15" t="s">
        <v>892</v>
      </c>
      <c r="D11" s="415">
        <v>0.70899999999999996</v>
      </c>
      <c r="E11" s="993">
        <v>45492</v>
      </c>
      <c r="F11" s="993">
        <v>45492</v>
      </c>
      <c r="G11" s="16"/>
    </row>
    <row r="12" spans="1:7" ht="16.5" customHeight="1">
      <c r="A12" s="84">
        <f t="shared" si="0"/>
        <v>7</v>
      </c>
      <c r="B12" s="15" t="s">
        <v>892</v>
      </c>
      <c r="C12" s="15" t="s">
        <v>257</v>
      </c>
      <c r="D12" s="415">
        <v>2.6819999999999999</v>
      </c>
      <c r="E12" s="993">
        <v>45492</v>
      </c>
      <c r="F12" s="993">
        <v>45492</v>
      </c>
      <c r="G12" s="16"/>
    </row>
    <row r="13" spans="1:7" ht="16.5" customHeight="1">
      <c r="A13" s="84">
        <f t="shared" si="0"/>
        <v>8</v>
      </c>
      <c r="B13" s="15" t="s">
        <v>257</v>
      </c>
      <c r="C13" s="15" t="s">
        <v>674</v>
      </c>
      <c r="D13" s="415">
        <v>4.4180000000000001</v>
      </c>
      <c r="E13" s="993">
        <v>45503</v>
      </c>
      <c r="F13" s="993">
        <v>45503</v>
      </c>
      <c r="G13" s="16"/>
    </row>
    <row r="14" spans="1:7" ht="16.5" customHeight="1">
      <c r="A14" s="84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5">
        <f>'Detailed Survey '!F14</f>
        <v>0.41948000000000002</v>
      </c>
      <c r="E14" s="993">
        <v>45500</v>
      </c>
      <c r="F14" s="993">
        <v>45503</v>
      </c>
      <c r="G14" s="16"/>
    </row>
    <row r="15" spans="1:7" ht="16.5" customHeight="1">
      <c r="A15" s="84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5">
        <f>'Detailed Survey '!F15</f>
        <v>4.9099000000000004</v>
      </c>
      <c r="E15" s="993">
        <v>45526</v>
      </c>
      <c r="F15" s="993">
        <v>45523</v>
      </c>
      <c r="G15" s="16"/>
    </row>
    <row r="16" spans="1:7" ht="16.5" customHeight="1">
      <c r="A16" s="84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5">
        <f>'Detailed Survey '!F16</f>
        <v>5.0833000000000004</v>
      </c>
      <c r="E16" s="993">
        <v>45500</v>
      </c>
      <c r="F16" s="993">
        <v>45503</v>
      </c>
      <c r="G16" s="16"/>
    </row>
    <row r="17" spans="1:7" ht="16.5" customHeight="1">
      <c r="A17" s="84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5">
        <f>'Detailed Survey '!F17</f>
        <v>4.9957000000000003</v>
      </c>
      <c r="E17" s="993">
        <v>45456</v>
      </c>
      <c r="F17" s="993">
        <v>45456</v>
      </c>
      <c r="G17" s="16"/>
    </row>
    <row r="18" spans="1:7" ht="16.5" customHeight="1">
      <c r="A18" s="84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5">
        <f>'Detailed Survey '!F18</f>
        <v>4.9230999999999998</v>
      </c>
      <c r="E18" s="993">
        <v>45428</v>
      </c>
      <c r="F18" s="993">
        <v>45428</v>
      </c>
      <c r="G18" s="16"/>
    </row>
    <row r="19" spans="1:7" ht="16.5" customHeight="1">
      <c r="A19" s="84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5">
        <f>'Detailed Survey '!F19</f>
        <v>1.0051000000000001</v>
      </c>
      <c r="E19" s="993">
        <v>45428</v>
      </c>
      <c r="F19" s="993">
        <v>45428</v>
      </c>
      <c r="G19" s="16"/>
    </row>
    <row r="20" spans="1:7" ht="16.5" customHeight="1">
      <c r="A20" s="84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5">
        <f>'Detailed Survey '!F20</f>
        <v>0.24679999999999999</v>
      </c>
      <c r="E20" s="993">
        <v>45497</v>
      </c>
      <c r="F20" s="993"/>
      <c r="G20" s="599" t="s">
        <v>348</v>
      </c>
    </row>
    <row r="21" spans="1:7" ht="16.5" customHeight="1">
      <c r="A21" s="84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5">
        <f>'Detailed Survey '!F21</f>
        <v>0.32919999999999999</v>
      </c>
      <c r="E21" s="993">
        <v>45497</v>
      </c>
      <c r="F21" s="993">
        <v>45632</v>
      </c>
      <c r="G21" s="599" t="s">
        <v>943</v>
      </c>
    </row>
    <row r="22" spans="1:7" ht="16.5" customHeight="1">
      <c r="A22" s="84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5">
        <f>'Detailed Survey '!F22</f>
        <v>0.89790000000000003</v>
      </c>
      <c r="E22" s="993">
        <v>45682</v>
      </c>
      <c r="F22" s="993"/>
      <c r="G22" s="16"/>
    </row>
    <row r="23" spans="1:7" ht="16.5" customHeight="1">
      <c r="A23" s="84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5">
        <f>'Detailed Survey '!F23</f>
        <v>0.224</v>
      </c>
      <c r="E23" s="993">
        <v>45497</v>
      </c>
      <c r="F23" s="993">
        <v>45678</v>
      </c>
      <c r="G23" s="600" t="s">
        <v>351</v>
      </c>
    </row>
    <row r="24" spans="1:7" ht="16.5" customHeight="1">
      <c r="A24" s="84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5">
        <f>'Detailed Survey '!F24</f>
        <v>5.0201000000000002</v>
      </c>
      <c r="E24" s="993">
        <v>45454</v>
      </c>
      <c r="F24" s="993">
        <v>45454</v>
      </c>
      <c r="G24" s="16"/>
    </row>
    <row r="25" spans="1:7" ht="16.5" customHeight="1">
      <c r="A25" s="84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5">
        <f>'Detailed Survey '!F25</f>
        <v>0.3861</v>
      </c>
      <c r="E25" s="993">
        <v>45583</v>
      </c>
      <c r="F25" s="993">
        <v>45583</v>
      </c>
      <c r="G25" s="16"/>
    </row>
    <row r="26" spans="1:7" ht="16.5" customHeight="1">
      <c r="A26" s="84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5">
        <f>'Detailed Survey '!F26</f>
        <v>0.41139999999999999</v>
      </c>
      <c r="E26" s="993">
        <v>45583</v>
      </c>
      <c r="F26" s="993">
        <v>45583</v>
      </c>
      <c r="G26" s="16"/>
    </row>
    <row r="27" spans="1:7" ht="16.5" customHeight="1">
      <c r="A27" s="84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5">
        <f>'Detailed Survey '!F27</f>
        <v>3.0234000000000001</v>
      </c>
      <c r="E27" s="993">
        <v>45583</v>
      </c>
      <c r="F27" s="993">
        <v>45583</v>
      </c>
      <c r="G27" s="16"/>
    </row>
    <row r="28" spans="1:7" ht="16.5" customHeight="1">
      <c r="A28" s="84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5">
        <f>'Detailed Survey '!F28</f>
        <v>0.27950000000000003</v>
      </c>
      <c r="E28" s="993">
        <v>45497</v>
      </c>
      <c r="F28" s="993"/>
      <c r="G28" s="600" t="s">
        <v>1037</v>
      </c>
    </row>
    <row r="29" spans="1:7" ht="16.5" customHeight="1">
      <c r="A29" s="84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5">
        <f>'Detailed Survey '!F29</f>
        <v>2.5514000000000001</v>
      </c>
      <c r="E29" s="993">
        <v>45465</v>
      </c>
      <c r="F29" s="993">
        <v>45484</v>
      </c>
      <c r="G29" s="16"/>
    </row>
    <row r="30" spans="1:7" ht="16.5" customHeight="1">
      <c r="A30" s="84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5">
        <f>'Detailed Survey '!F30</f>
        <v>2.2835000000000001</v>
      </c>
      <c r="E30" s="993">
        <v>45693</v>
      </c>
      <c r="F30" s="993"/>
      <c r="G30" s="16"/>
    </row>
    <row r="31" spans="1:7" ht="16.5" customHeight="1">
      <c r="A31" s="84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5">
        <f>'Detailed Survey '!F31</f>
        <v>0.25940000000000002</v>
      </c>
      <c r="E31" s="993">
        <v>45497</v>
      </c>
      <c r="F31" s="993">
        <v>45632</v>
      </c>
      <c r="G31" s="600" t="s">
        <v>945</v>
      </c>
    </row>
    <row r="32" spans="1:7" ht="16.5" customHeight="1">
      <c r="A32" s="84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5">
        <f>'Detailed Survey '!F32</f>
        <v>0.92849999999999999</v>
      </c>
      <c r="E32" s="993">
        <v>45497</v>
      </c>
      <c r="F32" s="993">
        <v>45632</v>
      </c>
      <c r="G32" s="16"/>
    </row>
    <row r="33" spans="1:7" ht="16.5" customHeight="1">
      <c r="A33" s="84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5">
        <f>'Detailed Survey '!F33</f>
        <v>0.25209999999999999</v>
      </c>
      <c r="E33" s="993">
        <v>45497</v>
      </c>
      <c r="F33" s="993">
        <v>45632</v>
      </c>
      <c r="G33" s="600" t="s">
        <v>944</v>
      </c>
    </row>
    <row r="34" spans="1:7" ht="16.5" customHeight="1">
      <c r="A34" s="84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5">
        <f>'Detailed Survey '!F34</f>
        <v>0.2374</v>
      </c>
      <c r="E34" s="993">
        <v>45497</v>
      </c>
      <c r="F34" s="993">
        <v>45632</v>
      </c>
      <c r="G34" s="16"/>
    </row>
    <row r="35" spans="1:7" ht="16.5" customHeight="1">
      <c r="A35" s="84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5">
        <f>'Detailed Survey '!F35</f>
        <v>0.20399999999999999</v>
      </c>
      <c r="E35" s="993">
        <v>45497</v>
      </c>
      <c r="F35" s="993">
        <v>45632</v>
      </c>
      <c r="G35" s="600" t="s">
        <v>361</v>
      </c>
    </row>
    <row r="36" spans="1:7" ht="16.5" customHeight="1">
      <c r="A36" s="84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5">
        <f>'Detailed Survey '!F36</f>
        <v>2.5476000000000001</v>
      </c>
      <c r="E36" s="993">
        <v>45476</v>
      </c>
      <c r="F36" s="993">
        <v>45484</v>
      </c>
      <c r="G36" s="16"/>
    </row>
    <row r="37" spans="1:7" ht="16.5" customHeight="1">
      <c r="A37" s="84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5">
        <f>'Detailed Survey '!F37</f>
        <v>0.21179999999999999</v>
      </c>
      <c r="E37" s="993">
        <v>45497</v>
      </c>
      <c r="F37" s="993"/>
      <c r="G37" s="600" t="s">
        <v>1116</v>
      </c>
    </row>
    <row r="38" spans="1:7" ht="16.5" customHeight="1">
      <c r="A38" s="84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5">
        <f>'Detailed Survey '!F38</f>
        <v>4.9546999999999999</v>
      </c>
      <c r="E38" s="993">
        <v>45490</v>
      </c>
      <c r="F38" s="993">
        <v>45491</v>
      </c>
      <c r="G38" s="16"/>
    </row>
    <row r="39" spans="1:7" ht="16.5" customHeight="1">
      <c r="A39" s="84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5">
        <f>'Detailed Survey '!F39</f>
        <v>4.2188999999999997</v>
      </c>
      <c r="E39" s="993">
        <v>45490</v>
      </c>
      <c r="F39" s="993">
        <v>45490</v>
      </c>
      <c r="G39" s="16"/>
    </row>
    <row r="40" spans="1:7" ht="16.5" customHeight="1">
      <c r="A40" s="84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5">
        <f>'Detailed Survey '!F40</f>
        <v>4.3323</v>
      </c>
      <c r="E40" s="993">
        <v>45475</v>
      </c>
      <c r="F40" s="993">
        <v>45477</v>
      </c>
      <c r="G40" s="16"/>
    </row>
    <row r="41" spans="1:7" ht="16.5" customHeight="1">
      <c r="A41" s="84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5">
        <f>'Detailed Survey '!F41</f>
        <v>4.1241000000000003</v>
      </c>
      <c r="E41" s="993">
        <v>45516</v>
      </c>
      <c r="F41" s="993">
        <v>45516</v>
      </c>
      <c r="G41" s="16"/>
    </row>
    <row r="42" spans="1:7" ht="16.5" customHeight="1">
      <c r="A42" s="84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5">
        <f>'Detailed Survey '!F42</f>
        <v>4.04976</v>
      </c>
      <c r="E42" s="993">
        <v>45516</v>
      </c>
      <c r="F42" s="993">
        <v>45516</v>
      </c>
      <c r="G42" s="16"/>
    </row>
    <row r="43" spans="1:7" ht="16.5" customHeight="1">
      <c r="A43" s="84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5">
        <f>'Detailed Survey '!F43</f>
        <v>4.8985900000000004</v>
      </c>
      <c r="E43" s="993">
        <v>45516</v>
      </c>
      <c r="F43" s="993">
        <v>45516</v>
      </c>
      <c r="G43" s="16"/>
    </row>
    <row r="44" spans="1:7" ht="16.5" customHeight="1">
      <c r="A44" s="84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5">
        <f>'Detailed Survey '!F44</f>
        <v>4.9163500000000004</v>
      </c>
      <c r="E44" s="993">
        <v>45516</v>
      </c>
      <c r="F44" s="993">
        <v>45516</v>
      </c>
      <c r="G44" s="16"/>
    </row>
    <row r="45" spans="1:7" ht="16.5" customHeight="1">
      <c r="A45" s="84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5">
        <f>'Detailed Survey '!F45</f>
        <v>1.74552</v>
      </c>
      <c r="E45" s="993">
        <v>45516</v>
      </c>
      <c r="F45" s="993">
        <v>45516</v>
      </c>
      <c r="G45" s="16"/>
    </row>
    <row r="46" spans="1:7" ht="16.5" customHeight="1">
      <c r="A46" s="84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5">
        <f>'Detailed Survey '!F46</f>
        <v>2.4963899999999999</v>
      </c>
      <c r="E46" s="993">
        <v>45551</v>
      </c>
      <c r="F46" s="993">
        <v>45551</v>
      </c>
      <c r="G46" s="16"/>
    </row>
    <row r="47" spans="1:7" ht="16.5" customHeight="1">
      <c r="A47" s="84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5">
        <f>'Detailed Survey '!F47</f>
        <v>2.5835900000000001</v>
      </c>
      <c r="E47" s="993">
        <v>45551</v>
      </c>
      <c r="F47" s="993">
        <v>45551</v>
      </c>
      <c r="G47" s="16"/>
    </row>
    <row r="48" spans="1:7">
      <c r="A48" s="84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5">
        <f>'Detailed Survey '!F48</f>
        <v>4.1636800000000003</v>
      </c>
      <c r="E48" s="993">
        <v>45583</v>
      </c>
      <c r="F48" s="993">
        <v>45583</v>
      </c>
      <c r="G48" s="16"/>
    </row>
    <row r="49" spans="1:7">
      <c r="A49" s="84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5">
        <f>'Detailed Survey '!F49</f>
        <v>4.7168100000000006</v>
      </c>
      <c r="E49" s="993">
        <v>45597</v>
      </c>
      <c r="F49" s="993">
        <v>45597</v>
      </c>
      <c r="G49" s="16"/>
    </row>
    <row r="50" spans="1:7">
      <c r="A50" s="84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5">
        <f>'Detailed Survey '!F50</f>
        <v>4.6659199999999998</v>
      </c>
      <c r="E50" s="993">
        <v>45597</v>
      </c>
      <c r="F50" s="993">
        <v>45597</v>
      </c>
      <c r="G50" s="16"/>
    </row>
    <row r="51" spans="1:7">
      <c r="A51" s="84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5">
        <f>'Detailed Survey '!F51</f>
        <v>0.41060700000000006</v>
      </c>
      <c r="E51" s="993">
        <v>45597</v>
      </c>
      <c r="F51" s="993">
        <v>45597</v>
      </c>
      <c r="G51" s="16"/>
    </row>
    <row r="52" spans="1:7">
      <c r="A52" s="84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5">
        <f>'Detailed Survey '!F52</f>
        <v>0.82378200000000001</v>
      </c>
      <c r="E52" s="993">
        <v>45597</v>
      </c>
      <c r="F52" s="993">
        <v>45597</v>
      </c>
      <c r="G52" s="16"/>
    </row>
    <row r="53" spans="1:7">
      <c r="A53" s="84">
        <f t="shared" si="0"/>
        <v>48</v>
      </c>
      <c r="B53" s="15" t="str">
        <f>C52</f>
        <v>42/0</v>
      </c>
      <c r="C53" s="59" t="s">
        <v>78</v>
      </c>
      <c r="D53" s="267">
        <v>1.683889</v>
      </c>
      <c r="E53" s="993">
        <v>45597</v>
      </c>
      <c r="F53" s="993">
        <v>45597</v>
      </c>
      <c r="G53" s="303"/>
    </row>
    <row r="54" spans="1:7">
      <c r="A54" s="84">
        <f t="shared" si="0"/>
        <v>49</v>
      </c>
      <c r="B54" s="15" t="str">
        <f>C53</f>
        <v>43/0</v>
      </c>
      <c r="C54" s="59" t="s">
        <v>7</v>
      </c>
      <c r="D54" s="267">
        <v>3.43641</v>
      </c>
      <c r="E54" s="993">
        <v>45597</v>
      </c>
      <c r="F54" s="993">
        <v>45597</v>
      </c>
      <c r="G54" s="303"/>
    </row>
    <row r="55" spans="1:7">
      <c r="A55" s="84">
        <f t="shared" si="0"/>
        <v>50</v>
      </c>
      <c r="B55" s="15" t="s">
        <v>7</v>
      </c>
      <c r="C55" s="59" t="s">
        <v>1247</v>
      </c>
      <c r="D55" s="195">
        <v>2.5916799999999998</v>
      </c>
      <c r="E55" s="993">
        <v>45708</v>
      </c>
      <c r="F55" s="993">
        <v>45708</v>
      </c>
      <c r="G55" s="65"/>
    </row>
    <row r="56" spans="1:7" ht="15" thickBot="1">
      <c r="A56" s="302"/>
      <c r="B56" s="768"/>
      <c r="C56" s="769"/>
      <c r="D56" s="770"/>
      <c r="E56" s="771"/>
      <c r="F56" s="771"/>
      <c r="G56" s="772"/>
    </row>
    <row r="57" spans="1:7" ht="15" thickBot="1">
      <c r="A57" s="1604" t="s">
        <v>81</v>
      </c>
      <c r="B57" s="1605"/>
      <c r="C57" s="1606"/>
      <c r="D57" s="276">
        <f>SUM(D6:D55)</f>
        <v>117.84785999999998</v>
      </c>
      <c r="E57" s="277"/>
      <c r="F57" s="277"/>
      <c r="G57" s="650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6" activePane="bottomRight" state="frozen"/>
      <selection activeCell="F23" sqref="F23"/>
      <selection pane="topRight" activeCell="F23" sqref="F23"/>
      <selection pane="bottomLeft" activeCell="F23" sqref="F23"/>
      <selection pane="bottomRight" activeCell="H317" sqref="H317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614" t="str">
        <f>Foundation!A1</f>
        <v>KEC International Limited</v>
      </c>
      <c r="B1" s="1614"/>
      <c r="C1" s="1614"/>
      <c r="D1" s="1614"/>
      <c r="E1" s="1614"/>
      <c r="F1" s="1614"/>
      <c r="G1" s="1614"/>
      <c r="H1" s="1614"/>
      <c r="I1" s="1614"/>
      <c r="J1" s="1614"/>
      <c r="K1" s="1614"/>
    </row>
    <row r="2" spans="1:11" ht="15.5">
      <c r="A2" s="1615" t="str">
        <f>Foundation!A2</f>
        <v xml:space="preserve"> TA413 : 765 KV D/C Bikaner III - Neemrana II TL02</v>
      </c>
      <c r="B2" s="1615"/>
      <c r="C2" s="1615"/>
      <c r="D2" s="1615"/>
      <c r="E2" s="1615"/>
      <c r="F2" s="1615"/>
      <c r="G2" s="1615"/>
      <c r="H2" s="1615"/>
      <c r="I2" s="1615"/>
      <c r="J2" s="1615"/>
      <c r="K2" s="1615"/>
    </row>
    <row r="3" spans="1:11" ht="15.5">
      <c r="A3" s="1613" t="s">
        <v>105</v>
      </c>
      <c r="B3" s="1613"/>
      <c r="C3" s="1613"/>
      <c r="D3" s="1613"/>
      <c r="E3" s="1613"/>
      <c r="F3" s="1613"/>
      <c r="G3" s="1613"/>
      <c r="H3" s="1613"/>
      <c r="I3" s="1613"/>
      <c r="J3" s="1616" t="str">
        <f>TA413_PBNTL!M1</f>
        <v>26.06.2026</v>
      </c>
      <c r="K3" s="1616"/>
    </row>
    <row r="4" spans="1:11" ht="29">
      <c r="A4" s="280" t="s">
        <v>41</v>
      </c>
      <c r="B4" s="287" t="s">
        <v>42</v>
      </c>
      <c r="C4" s="974" t="s">
        <v>43</v>
      </c>
      <c r="D4" s="287" t="s">
        <v>44</v>
      </c>
      <c r="E4" s="287" t="s">
        <v>45</v>
      </c>
      <c r="F4" s="975" t="s">
        <v>46</v>
      </c>
      <c r="G4" s="975" t="s">
        <v>47</v>
      </c>
      <c r="H4" s="976" t="s">
        <v>87</v>
      </c>
      <c r="I4" s="287" t="s">
        <v>48</v>
      </c>
      <c r="J4" s="977" t="s">
        <v>307</v>
      </c>
      <c r="K4" s="287" t="s">
        <v>1</v>
      </c>
    </row>
    <row r="5" spans="1:11" s="616" customFormat="1" ht="15.5">
      <c r="A5" s="611">
        <v>1</v>
      </c>
      <c r="B5" s="611">
        <f>SUBTOTAL(103,$C$5:C5)</f>
        <v>1</v>
      </c>
      <c r="C5" s="1005" t="s">
        <v>401</v>
      </c>
      <c r="D5" s="612" t="s">
        <v>3</v>
      </c>
      <c r="E5" s="1029" t="s">
        <v>405</v>
      </c>
      <c r="F5" s="613">
        <v>45522</v>
      </c>
      <c r="G5" s="613">
        <v>45522</v>
      </c>
      <c r="H5" s="614" t="s">
        <v>952</v>
      </c>
      <c r="I5" s="614" t="s">
        <v>889</v>
      </c>
      <c r="J5" s="611" t="s">
        <v>975</v>
      </c>
      <c r="K5" s="614" t="s">
        <v>255</v>
      </c>
    </row>
    <row r="6" spans="1:11" s="616" customFormat="1" ht="15.5">
      <c r="A6" s="611">
        <v>2</v>
      </c>
      <c r="B6" s="611">
        <f>SUBTOTAL(103,$C$5:C6)</f>
        <v>2</v>
      </c>
      <c r="C6" s="1005" t="s">
        <v>400</v>
      </c>
      <c r="D6" s="612" t="str">
        <f>VLOOKUP(C6,Foundation!$C$5:$D$143,2,0)</f>
        <v>DA+3</v>
      </c>
      <c r="E6" s="1029" t="s">
        <v>405</v>
      </c>
      <c r="F6" s="613">
        <v>45522</v>
      </c>
      <c r="G6" s="613">
        <v>45522</v>
      </c>
      <c r="H6" s="614" t="s">
        <v>952</v>
      </c>
      <c r="I6" s="614" t="s">
        <v>889</v>
      </c>
      <c r="J6" s="611" t="s">
        <v>975</v>
      </c>
      <c r="K6" s="614" t="s">
        <v>255</v>
      </c>
    </row>
    <row r="7" spans="1:11" s="616" customFormat="1" ht="15.5">
      <c r="A7" s="611">
        <v>3</v>
      </c>
      <c r="B7" s="611">
        <f>SUBTOTAL(103,$C$5:C7)</f>
        <v>3</v>
      </c>
      <c r="C7" s="1005" t="s">
        <v>399</v>
      </c>
      <c r="D7" s="612" t="str">
        <f>VLOOKUP(C7,Foundation!$C$5:$D$143,2,0)</f>
        <v>DA+9</v>
      </c>
      <c r="E7" s="1029" t="s">
        <v>405</v>
      </c>
      <c r="F7" s="613">
        <v>45522</v>
      </c>
      <c r="G7" s="613">
        <v>45522</v>
      </c>
      <c r="H7" s="614" t="s">
        <v>952</v>
      </c>
      <c r="I7" s="614" t="s">
        <v>889</v>
      </c>
      <c r="J7" s="611" t="s">
        <v>975</v>
      </c>
      <c r="K7" s="614" t="s">
        <v>255</v>
      </c>
    </row>
    <row r="8" spans="1:11" s="616" customFormat="1" ht="15.5">
      <c r="A8" s="611">
        <v>4</v>
      </c>
      <c r="B8" s="611">
        <f>SUBTOTAL(103,$C$5:C8)</f>
        <v>4</v>
      </c>
      <c r="C8" s="1005" t="s">
        <v>396</v>
      </c>
      <c r="D8" s="612" t="str">
        <f>VLOOKUP(C8,Foundation!$C$5:$D$143,2,0)</f>
        <v>DA+9</v>
      </c>
      <c r="E8" s="1029" t="s">
        <v>405</v>
      </c>
      <c r="F8" s="613">
        <v>45524</v>
      </c>
      <c r="G8" s="613">
        <v>45524</v>
      </c>
      <c r="H8" s="614" t="s">
        <v>952</v>
      </c>
      <c r="I8" s="614" t="s">
        <v>889</v>
      </c>
      <c r="J8" s="611" t="s">
        <v>975</v>
      </c>
      <c r="K8" s="614" t="s">
        <v>255</v>
      </c>
    </row>
    <row r="9" spans="1:11" s="616" customFormat="1" ht="15.5">
      <c r="A9" s="611">
        <v>5</v>
      </c>
      <c r="B9" s="611">
        <f>SUBTOTAL(103,$C$5:C9)</f>
        <v>5</v>
      </c>
      <c r="C9" s="1005" t="s">
        <v>397</v>
      </c>
      <c r="D9" s="612" t="str">
        <f>VLOOKUP(C9,Foundation!$C$5:$D$143,2,0)</f>
        <v>DA+3</v>
      </c>
      <c r="E9" s="1029" t="s">
        <v>405</v>
      </c>
      <c r="F9" s="613">
        <v>45524</v>
      </c>
      <c r="G9" s="613">
        <v>45524</v>
      </c>
      <c r="H9" s="614" t="s">
        <v>952</v>
      </c>
      <c r="I9" s="614" t="s">
        <v>889</v>
      </c>
      <c r="J9" s="611" t="s">
        <v>975</v>
      </c>
      <c r="K9" s="614" t="s">
        <v>255</v>
      </c>
    </row>
    <row r="10" spans="1:11" s="616" customFormat="1" ht="15.5">
      <c r="A10" s="611">
        <v>6</v>
      </c>
      <c r="B10" s="611">
        <f>SUBTOTAL(103,$C$5:C10)</f>
        <v>6</v>
      </c>
      <c r="C10" s="1005" t="s">
        <v>398</v>
      </c>
      <c r="D10" s="612" t="str">
        <f>VLOOKUP(C10,Foundation!$C$5:$D$143,2,0)</f>
        <v>DA+3</v>
      </c>
      <c r="E10" s="1029" t="s">
        <v>405</v>
      </c>
      <c r="F10" s="613">
        <v>45524</v>
      </c>
      <c r="G10" s="613">
        <v>45524</v>
      </c>
      <c r="H10" s="614" t="s">
        <v>952</v>
      </c>
      <c r="I10" s="614" t="s">
        <v>889</v>
      </c>
      <c r="J10" s="611" t="s">
        <v>975</v>
      </c>
      <c r="K10" s="614" t="s">
        <v>255</v>
      </c>
    </row>
    <row r="11" spans="1:11" s="616" customFormat="1" ht="15.5">
      <c r="A11" s="611">
        <v>7</v>
      </c>
      <c r="B11" s="611">
        <f>SUBTOTAL(103,$C$5:C11)</f>
        <v>7</v>
      </c>
      <c r="C11" s="1005" t="s">
        <v>407</v>
      </c>
      <c r="D11" s="612" t="str">
        <f>VLOOKUP(C11,Foundation!$C$5:$D$143,2,0)</f>
        <v>DA+0</v>
      </c>
      <c r="E11" s="1029" t="s">
        <v>405</v>
      </c>
      <c r="F11" s="613">
        <v>45528</v>
      </c>
      <c r="G11" s="613">
        <v>45528</v>
      </c>
      <c r="H11" s="614" t="s">
        <v>952</v>
      </c>
      <c r="I11" s="614" t="s">
        <v>889</v>
      </c>
      <c r="J11" s="611" t="s">
        <v>975</v>
      </c>
      <c r="K11" s="614" t="s">
        <v>255</v>
      </c>
    </row>
    <row r="12" spans="1:11" s="616" customFormat="1" ht="15.75" customHeight="1">
      <c r="A12" s="611">
        <v>8</v>
      </c>
      <c r="B12" s="611">
        <f>SUBTOTAL(103,$C$5:C12)</f>
        <v>8</v>
      </c>
      <c r="C12" s="1008" t="s">
        <v>370</v>
      </c>
      <c r="D12" s="612" t="str">
        <f>IFERROR(VLOOKUP(C12,Foundation!$C$5:$D$143,2,0),"")</f>
        <v>DA+6</v>
      </c>
      <c r="E12" s="1029" t="s">
        <v>405</v>
      </c>
      <c r="F12" s="613">
        <v>45528</v>
      </c>
      <c r="G12" s="613">
        <v>45528</v>
      </c>
      <c r="H12" s="614" t="s">
        <v>952</v>
      </c>
      <c r="I12" s="614" t="s">
        <v>889</v>
      </c>
      <c r="J12" s="611" t="s">
        <v>975</v>
      </c>
      <c r="K12" s="614" t="s">
        <v>255</v>
      </c>
    </row>
    <row r="13" spans="1:11" s="616" customFormat="1" ht="15.75" customHeight="1">
      <c r="A13" s="611">
        <v>9</v>
      </c>
      <c r="B13" s="611">
        <f>SUBTOTAL(103,$C$5:C13)</f>
        <v>9</v>
      </c>
      <c r="C13" s="1008" t="s">
        <v>404</v>
      </c>
      <c r="D13" s="612" t="str">
        <f>IFERROR(VLOOKUP(C13,Foundation!$C$5:$D$143,2,0),"")</f>
        <v>DA+3</v>
      </c>
      <c r="E13" s="1029" t="s">
        <v>405</v>
      </c>
      <c r="F13" s="613">
        <v>45530</v>
      </c>
      <c r="G13" s="613">
        <v>45530</v>
      </c>
      <c r="H13" s="614" t="s">
        <v>952</v>
      </c>
      <c r="I13" s="614" t="s">
        <v>889</v>
      </c>
      <c r="J13" s="611" t="s">
        <v>975</v>
      </c>
      <c r="K13" s="614" t="s">
        <v>255</v>
      </c>
    </row>
    <row r="14" spans="1:11" s="616" customFormat="1" ht="15.75" customHeight="1">
      <c r="A14" s="611">
        <v>10</v>
      </c>
      <c r="B14" s="611">
        <f>SUBTOTAL(103,$C$5:C14)</f>
        <v>10</v>
      </c>
      <c r="C14" s="1008" t="s">
        <v>495</v>
      </c>
      <c r="D14" s="612" t="str">
        <f>IFERROR(VLOOKUP(C14,Foundation!$C$5:$D$143,2,0),"")</f>
        <v>DA+3</v>
      </c>
      <c r="E14" s="1029" t="s">
        <v>405</v>
      </c>
      <c r="F14" s="613">
        <v>45541</v>
      </c>
      <c r="G14" s="613">
        <v>45541</v>
      </c>
      <c r="H14" s="614" t="s">
        <v>952</v>
      </c>
      <c r="I14" s="614" t="s">
        <v>889</v>
      </c>
      <c r="J14" s="611" t="s">
        <v>1006</v>
      </c>
      <c r="K14" s="614" t="s">
        <v>255</v>
      </c>
    </row>
    <row r="15" spans="1:11" s="616" customFormat="1" ht="15.75" customHeight="1">
      <c r="A15" s="611">
        <v>11</v>
      </c>
      <c r="B15" s="611">
        <f>SUBTOTAL(103,$C$5:C15)</f>
        <v>11</v>
      </c>
      <c r="C15" s="1008" t="s">
        <v>466</v>
      </c>
      <c r="D15" s="612" t="str">
        <f>IFERROR(VLOOKUP(C15,Foundation!$C$5:$D$143,2,0),"")</f>
        <v>DA+6</v>
      </c>
      <c r="E15" s="1029" t="s">
        <v>405</v>
      </c>
      <c r="F15" s="613">
        <v>45545</v>
      </c>
      <c r="G15" s="613">
        <v>45545</v>
      </c>
      <c r="H15" s="614" t="s">
        <v>952</v>
      </c>
      <c r="I15" s="614" t="s">
        <v>1007</v>
      </c>
      <c r="J15" s="611" t="s">
        <v>1006</v>
      </c>
      <c r="K15" s="614" t="s">
        <v>255</v>
      </c>
    </row>
    <row r="16" spans="1:11" s="616" customFormat="1" ht="15.75" customHeight="1">
      <c r="A16" s="611">
        <v>12</v>
      </c>
      <c r="B16" s="611">
        <f>SUBTOTAL(103,$C$5:C16)</f>
        <v>12</v>
      </c>
      <c r="C16" s="1005" t="s">
        <v>468</v>
      </c>
      <c r="D16" s="612" t="str">
        <f>IFERROR(VLOOKUP(C16,Foundation!$C$5:$D$143,2,0),"")</f>
        <v>DA+9</v>
      </c>
      <c r="E16" s="1029" t="s">
        <v>405</v>
      </c>
      <c r="F16" s="613">
        <v>45544</v>
      </c>
      <c r="G16" s="613">
        <v>45544</v>
      </c>
      <c r="H16" s="614" t="s">
        <v>952</v>
      </c>
      <c r="I16" s="614" t="s">
        <v>1007</v>
      </c>
      <c r="J16" s="611" t="s">
        <v>1006</v>
      </c>
      <c r="K16" s="614" t="s">
        <v>255</v>
      </c>
    </row>
    <row r="17" spans="1:11" s="616" customFormat="1" ht="15.75" customHeight="1">
      <c r="A17" s="611">
        <v>13</v>
      </c>
      <c r="B17" s="611">
        <f>SUBTOTAL(103,$C$5:C17)</f>
        <v>13</v>
      </c>
      <c r="C17" s="1008" t="s">
        <v>260</v>
      </c>
      <c r="D17" s="612" t="str">
        <f>IFERROR(VLOOKUP(C17,Foundation!$C$5:$D$143,2,0),"")</f>
        <v>DA+6</v>
      </c>
      <c r="E17" s="1029" t="s">
        <v>405</v>
      </c>
      <c r="F17" s="613">
        <v>45545</v>
      </c>
      <c r="G17" s="613">
        <v>45545</v>
      </c>
      <c r="H17" s="614" t="s">
        <v>952</v>
      </c>
      <c r="I17" s="614" t="s">
        <v>889</v>
      </c>
      <c r="J17" s="611" t="s">
        <v>1006</v>
      </c>
      <c r="K17" s="614" t="s">
        <v>255</v>
      </c>
    </row>
    <row r="18" spans="1:11" s="616" customFormat="1" ht="15.75" customHeight="1">
      <c r="A18" s="611">
        <v>14</v>
      </c>
      <c r="B18" s="611">
        <f>SUBTOTAL(103,$C$5:C18)</f>
        <v>14</v>
      </c>
      <c r="C18" s="1008" t="s">
        <v>259</v>
      </c>
      <c r="D18" s="612" t="str">
        <f>IFERROR(VLOOKUP(C18,Foundation!$C$5:$D$143,2,0),"")</f>
        <v>DA+9</v>
      </c>
      <c r="E18" s="1029" t="s">
        <v>405</v>
      </c>
      <c r="F18" s="613">
        <v>45545</v>
      </c>
      <c r="G18" s="613">
        <v>45545</v>
      </c>
      <c r="H18" s="614" t="s">
        <v>952</v>
      </c>
      <c r="I18" s="614" t="s">
        <v>889</v>
      </c>
      <c r="J18" s="611" t="s">
        <v>1006</v>
      </c>
      <c r="K18" s="614" t="s">
        <v>255</v>
      </c>
    </row>
    <row r="19" spans="1:11" s="616" customFormat="1" ht="15.5">
      <c r="A19" s="611">
        <v>15</v>
      </c>
      <c r="B19" s="611">
        <f>SUBTOTAL(103,$C$5:C19)</f>
        <v>15</v>
      </c>
      <c r="C19" s="1005" t="s">
        <v>492</v>
      </c>
      <c r="D19" s="617" t="str">
        <f>IFERROR(VLOOKUP(C19,Foundation!$C$5:$D$143,2,0),"")</f>
        <v>DA+1.5</v>
      </c>
      <c r="E19" s="1029" t="s">
        <v>405</v>
      </c>
      <c r="F19" s="613">
        <v>45550</v>
      </c>
      <c r="G19" s="613">
        <v>45550</v>
      </c>
      <c r="H19" s="614" t="s">
        <v>952</v>
      </c>
      <c r="I19" s="614" t="s">
        <v>889</v>
      </c>
      <c r="J19" s="611" t="s">
        <v>1006</v>
      </c>
      <c r="K19" s="614" t="s">
        <v>255</v>
      </c>
    </row>
    <row r="20" spans="1:11" s="616" customFormat="1" ht="15.75" customHeight="1">
      <c r="A20" s="611">
        <v>16</v>
      </c>
      <c r="B20" s="611">
        <f>SUBTOTAL(103,$C$5:C20)</f>
        <v>16</v>
      </c>
      <c r="C20" s="1008" t="s">
        <v>477</v>
      </c>
      <c r="D20" s="612" t="str">
        <f>IFERROR(VLOOKUP(C20,Foundation!$C$5:$D$143,2,0),"")</f>
        <v>DA-1.5</v>
      </c>
      <c r="E20" s="1029" t="s">
        <v>405</v>
      </c>
      <c r="F20" s="613">
        <v>45550</v>
      </c>
      <c r="G20" s="613">
        <v>45550</v>
      </c>
      <c r="H20" s="614" t="s">
        <v>952</v>
      </c>
      <c r="I20" s="614" t="s">
        <v>889</v>
      </c>
      <c r="J20" s="611" t="s">
        <v>1006</v>
      </c>
      <c r="K20" s="614" t="s">
        <v>255</v>
      </c>
    </row>
    <row r="21" spans="1:11" s="616" customFormat="1" ht="15.75" customHeight="1">
      <c r="A21" s="611">
        <v>17</v>
      </c>
      <c r="B21" s="611">
        <f>SUBTOTAL(103,$C$5:C21)</f>
        <v>17</v>
      </c>
      <c r="C21" s="1008" t="s">
        <v>496</v>
      </c>
      <c r="D21" s="612" t="str">
        <f>IFERROR(VLOOKUP(C21,Foundation!$C$5:$D$143,2,0),"")</f>
        <v>DA+3</v>
      </c>
      <c r="E21" s="1029" t="s">
        <v>405</v>
      </c>
      <c r="F21" s="613">
        <v>45550</v>
      </c>
      <c r="G21" s="613">
        <v>45550</v>
      </c>
      <c r="H21" s="614" t="s">
        <v>952</v>
      </c>
      <c r="I21" s="614" t="s">
        <v>889</v>
      </c>
      <c r="J21" s="611" t="s">
        <v>1006</v>
      </c>
      <c r="K21" s="614" t="s">
        <v>255</v>
      </c>
    </row>
    <row r="22" spans="1:11" s="616" customFormat="1" ht="15.5">
      <c r="A22" s="611">
        <v>18</v>
      </c>
      <c r="B22" s="611">
        <v>18</v>
      </c>
      <c r="C22" s="1008" t="s">
        <v>895</v>
      </c>
      <c r="D22" s="612" t="str">
        <f>IFERROR(VLOOKUP(C22,Foundation!$C$5:$D$143,2,0),"")</f>
        <v>DA+9</v>
      </c>
      <c r="E22" s="1029" t="s">
        <v>405</v>
      </c>
      <c r="F22" s="613">
        <v>45551</v>
      </c>
      <c r="G22" s="613">
        <v>45551</v>
      </c>
      <c r="H22" s="614" t="s">
        <v>952</v>
      </c>
      <c r="I22" s="614" t="s">
        <v>889</v>
      </c>
      <c r="J22" s="611" t="s">
        <v>1006</v>
      </c>
      <c r="K22" s="614" t="s">
        <v>255</v>
      </c>
    </row>
    <row r="23" spans="1:11" s="616" customFormat="1" ht="15.75" customHeight="1">
      <c r="A23" s="611">
        <v>19</v>
      </c>
      <c r="B23" s="611">
        <v>19</v>
      </c>
      <c r="C23" s="1008" t="s">
        <v>464</v>
      </c>
      <c r="D23" s="617" t="str">
        <f>IFERROR(VLOOKUP(C23,Foundation!$C$5:$D$143,2,0),"")</f>
        <v>DA+3</v>
      </c>
      <c r="E23" s="1029" t="s">
        <v>405</v>
      </c>
      <c r="F23" s="613">
        <v>45555</v>
      </c>
      <c r="G23" s="613">
        <v>45555</v>
      </c>
      <c r="H23" s="614" t="s">
        <v>952</v>
      </c>
      <c r="I23" s="614" t="s">
        <v>889</v>
      </c>
      <c r="J23" s="611" t="s">
        <v>1006</v>
      </c>
      <c r="K23" s="614" t="s">
        <v>255</v>
      </c>
    </row>
    <row r="24" spans="1:11" s="616" customFormat="1" ht="15.75" customHeight="1">
      <c r="A24" s="611">
        <v>20</v>
      </c>
      <c r="B24" s="611">
        <v>20</v>
      </c>
      <c r="C24" s="1008" t="s">
        <v>465</v>
      </c>
      <c r="D24" s="617" t="str">
        <f>IFERROR(VLOOKUP(C24,Foundation!$C$5:$D$143,2,0),"")</f>
        <v>DA+9</v>
      </c>
      <c r="E24" s="1029" t="s">
        <v>405</v>
      </c>
      <c r="F24" s="613">
        <v>45555</v>
      </c>
      <c r="G24" s="613">
        <v>45555</v>
      </c>
      <c r="H24" s="614" t="s">
        <v>952</v>
      </c>
      <c r="I24" s="614" t="s">
        <v>889</v>
      </c>
      <c r="J24" s="611" t="s">
        <v>1006</v>
      </c>
      <c r="K24" s="614" t="s">
        <v>255</v>
      </c>
    </row>
    <row r="25" spans="1:11" s="616" customFormat="1" ht="15.75" customHeight="1">
      <c r="A25" s="611">
        <v>21</v>
      </c>
      <c r="B25" s="611">
        <v>21</v>
      </c>
      <c r="C25" s="1008" t="s">
        <v>469</v>
      </c>
      <c r="D25" s="617" t="str">
        <f>IFERROR(VLOOKUP(C25,Foundation!$C$5:$D$143,2,0),"")</f>
        <v>DA+3</v>
      </c>
      <c r="E25" s="1029" t="s">
        <v>405</v>
      </c>
      <c r="F25" s="613">
        <v>45547</v>
      </c>
      <c r="G25" s="613">
        <f t="shared" ref="G25:G56" si="0">F25</f>
        <v>45547</v>
      </c>
      <c r="H25" s="614" t="s">
        <v>952</v>
      </c>
      <c r="I25" s="614" t="s">
        <v>889</v>
      </c>
      <c r="J25" s="611" t="s">
        <v>1006</v>
      </c>
      <c r="K25" s="614" t="s">
        <v>255</v>
      </c>
    </row>
    <row r="26" spans="1:11" s="616" customFormat="1" ht="15.75" customHeight="1">
      <c r="A26" s="611">
        <v>22</v>
      </c>
      <c r="B26" s="611">
        <v>22</v>
      </c>
      <c r="C26" s="1008" t="s">
        <v>896</v>
      </c>
      <c r="D26" s="617" t="str">
        <f>IFERROR(VLOOKUP(C26,Foundation!$C$5:$D$143,2,0),"")</f>
        <v>DA+6</v>
      </c>
      <c r="E26" s="1029" t="s">
        <v>405</v>
      </c>
      <c r="F26" s="613">
        <v>45548</v>
      </c>
      <c r="G26" s="613">
        <f t="shared" si="0"/>
        <v>45548</v>
      </c>
      <c r="H26" s="614" t="s">
        <v>952</v>
      </c>
      <c r="I26" s="614" t="s">
        <v>889</v>
      </c>
      <c r="J26" s="611" t="s">
        <v>1006</v>
      </c>
      <c r="K26" s="614" t="s">
        <v>255</v>
      </c>
    </row>
    <row r="27" spans="1:11" s="616" customFormat="1" ht="15.75" customHeight="1">
      <c r="A27" s="611">
        <v>23</v>
      </c>
      <c r="B27" s="611">
        <v>23</v>
      </c>
      <c r="C27" s="1008" t="s">
        <v>897</v>
      </c>
      <c r="D27" s="617" t="str">
        <f>IFERROR(VLOOKUP(C27,Foundation!$C$5:$D$143,2,0),"")</f>
        <v>DA+9</v>
      </c>
      <c r="E27" s="1029" t="s">
        <v>405</v>
      </c>
      <c r="F27" s="613">
        <v>45547</v>
      </c>
      <c r="G27" s="613">
        <f t="shared" si="0"/>
        <v>45547</v>
      </c>
      <c r="H27" s="614" t="s">
        <v>952</v>
      </c>
      <c r="I27" s="614" t="s">
        <v>889</v>
      </c>
      <c r="J27" s="611" t="s">
        <v>1006</v>
      </c>
      <c r="K27" s="614" t="s">
        <v>255</v>
      </c>
    </row>
    <row r="28" spans="1:11" s="616" customFormat="1" ht="15.75" customHeight="1">
      <c r="A28" s="611">
        <v>24</v>
      </c>
      <c r="B28" s="611">
        <v>24</v>
      </c>
      <c r="C28" s="1008" t="s">
        <v>498</v>
      </c>
      <c r="D28" s="617" t="str">
        <f>IFERROR(VLOOKUP(C28,Foundation!$C$5:$D$143,2,0),"")</f>
        <v>DA+3</v>
      </c>
      <c r="E28" s="1029" t="s">
        <v>405</v>
      </c>
      <c r="F28" s="613">
        <v>45540</v>
      </c>
      <c r="G28" s="613">
        <f t="shared" si="0"/>
        <v>45540</v>
      </c>
      <c r="H28" s="614" t="s">
        <v>952</v>
      </c>
      <c r="I28" s="614" t="s">
        <v>889</v>
      </c>
      <c r="J28" s="611" t="s">
        <v>1006</v>
      </c>
      <c r="K28" s="614" t="s">
        <v>255</v>
      </c>
    </row>
    <row r="29" spans="1:11" s="616" customFormat="1" ht="15.75" customHeight="1">
      <c r="A29" s="611">
        <v>25</v>
      </c>
      <c r="B29" s="611">
        <v>25</v>
      </c>
      <c r="C29" s="1008" t="s">
        <v>497</v>
      </c>
      <c r="D29" s="617" t="str">
        <f>IFERROR(VLOOKUP(C29,Foundation!$C$5:$D$143,2,0),"")</f>
        <v>DA+3</v>
      </c>
      <c r="E29" s="1029" t="s">
        <v>405</v>
      </c>
      <c r="F29" s="613">
        <v>45540</v>
      </c>
      <c r="G29" s="613">
        <f t="shared" si="0"/>
        <v>45540</v>
      </c>
      <c r="H29" s="614" t="s">
        <v>952</v>
      </c>
      <c r="I29" s="614" t="s">
        <v>889</v>
      </c>
      <c r="J29" s="611" t="s">
        <v>1006</v>
      </c>
      <c r="K29" s="614" t="s">
        <v>255</v>
      </c>
    </row>
    <row r="30" spans="1:11" s="616" customFormat="1" ht="15.75" customHeight="1">
      <c r="A30" s="611">
        <v>26</v>
      </c>
      <c r="B30" s="611">
        <v>26</v>
      </c>
      <c r="C30" s="1008" t="s">
        <v>494</v>
      </c>
      <c r="D30" s="617" t="str">
        <f>IFERROR(VLOOKUP(C30,Foundation!$C$5:$D$143,2,0),"")</f>
        <v>DA+1.5</v>
      </c>
      <c r="E30" s="1029" t="s">
        <v>405</v>
      </c>
      <c r="F30" s="613">
        <v>45540</v>
      </c>
      <c r="G30" s="613">
        <f t="shared" si="0"/>
        <v>45540</v>
      </c>
      <c r="H30" s="614" t="s">
        <v>952</v>
      </c>
      <c r="I30" s="614" t="s">
        <v>889</v>
      </c>
      <c r="J30" s="611" t="s">
        <v>1006</v>
      </c>
      <c r="K30" s="614" t="s">
        <v>255</v>
      </c>
    </row>
    <row r="31" spans="1:11" s="616" customFormat="1" ht="15.75" customHeight="1">
      <c r="A31" s="611">
        <v>27</v>
      </c>
      <c r="B31" s="611">
        <v>1</v>
      </c>
      <c r="C31" s="1008" t="s">
        <v>470</v>
      </c>
      <c r="D31" s="617" t="str">
        <f>IFERROR(VLOOKUP(C31,Foundation!$C$5:$D$143,2,0),"")</f>
        <v>DA+9</v>
      </c>
      <c r="E31" s="1029" t="s">
        <v>405</v>
      </c>
      <c r="F31" s="613">
        <v>45576</v>
      </c>
      <c r="G31" s="613">
        <f t="shared" si="0"/>
        <v>45576</v>
      </c>
      <c r="H31" s="614" t="s">
        <v>952</v>
      </c>
      <c r="I31" s="614" t="s">
        <v>889</v>
      </c>
      <c r="J31" s="611" t="s">
        <v>1085</v>
      </c>
      <c r="K31" s="614" t="s">
        <v>255</v>
      </c>
    </row>
    <row r="32" spans="1:11" s="616" customFormat="1" ht="15.75" customHeight="1">
      <c r="A32" s="611">
        <v>28</v>
      </c>
      <c r="B32" s="611">
        <v>2</v>
      </c>
      <c r="C32" s="1008" t="s">
        <v>472</v>
      </c>
      <c r="D32" s="617" t="str">
        <f>IFERROR(VLOOKUP(C32,Foundation!$C$5:$D$143,2,0),"")</f>
        <v>DA-3</v>
      </c>
      <c r="E32" s="1029" t="s">
        <v>405</v>
      </c>
      <c r="F32" s="613">
        <v>45576</v>
      </c>
      <c r="G32" s="613">
        <f t="shared" si="0"/>
        <v>45576</v>
      </c>
      <c r="H32" s="614" t="s">
        <v>952</v>
      </c>
      <c r="I32" s="614" t="s">
        <v>889</v>
      </c>
      <c r="J32" s="611" t="s">
        <v>1085</v>
      </c>
      <c r="K32" s="614" t="s">
        <v>255</v>
      </c>
    </row>
    <row r="33" spans="1:11" s="616" customFormat="1" ht="15.75" customHeight="1">
      <c r="A33" s="611">
        <v>29</v>
      </c>
      <c r="B33" s="611">
        <v>3</v>
      </c>
      <c r="C33" s="1008" t="s">
        <v>475</v>
      </c>
      <c r="D33" s="617" t="str">
        <f>IFERROR(VLOOKUP(C33,Foundation!$C$5:$D$143,2,0),"")</f>
        <v>DA+6</v>
      </c>
      <c r="E33" s="1029" t="s">
        <v>405</v>
      </c>
      <c r="F33" s="613">
        <v>45576</v>
      </c>
      <c r="G33" s="613">
        <f t="shared" si="0"/>
        <v>45576</v>
      </c>
      <c r="H33" s="614" t="s">
        <v>952</v>
      </c>
      <c r="I33" s="614" t="s">
        <v>889</v>
      </c>
      <c r="J33" s="611" t="s">
        <v>1085</v>
      </c>
      <c r="K33" s="614" t="s">
        <v>255</v>
      </c>
    </row>
    <row r="34" spans="1:11" s="616" customFormat="1" ht="15.75" customHeight="1">
      <c r="A34" s="611">
        <v>30</v>
      </c>
      <c r="B34" s="611">
        <v>4</v>
      </c>
      <c r="C34" s="1008" t="s">
        <v>476</v>
      </c>
      <c r="D34" s="617" t="str">
        <f>IFERROR(VLOOKUP(C34,Foundation!$C$5:$D$143,2,0),"")</f>
        <v>DA+1.5</v>
      </c>
      <c r="E34" s="1029" t="s">
        <v>405</v>
      </c>
      <c r="F34" s="613">
        <v>45576</v>
      </c>
      <c r="G34" s="613">
        <f t="shared" si="0"/>
        <v>45576</v>
      </c>
      <c r="H34" s="614" t="s">
        <v>952</v>
      </c>
      <c r="I34" s="614" t="s">
        <v>889</v>
      </c>
      <c r="J34" s="611" t="s">
        <v>1085</v>
      </c>
      <c r="K34" s="614" t="s">
        <v>255</v>
      </c>
    </row>
    <row r="35" spans="1:11" s="616" customFormat="1" ht="15.5">
      <c r="A35" s="611">
        <v>31</v>
      </c>
      <c r="B35" s="611">
        <v>5</v>
      </c>
      <c r="C35" s="75" t="s">
        <v>478</v>
      </c>
      <c r="D35" s="617" t="str">
        <f>IFERROR(VLOOKUP(C35,Foundation!$C$5:$D$143,2,0),"")</f>
        <v>DA-3</v>
      </c>
      <c r="E35" s="1029" t="s">
        <v>405</v>
      </c>
      <c r="F35" s="613">
        <v>45576</v>
      </c>
      <c r="G35" s="613">
        <f t="shared" si="0"/>
        <v>45576</v>
      </c>
      <c r="H35" s="614" t="s">
        <v>952</v>
      </c>
      <c r="I35" s="614" t="s">
        <v>889</v>
      </c>
      <c r="J35" s="611" t="s">
        <v>1085</v>
      </c>
      <c r="K35" s="614" t="s">
        <v>255</v>
      </c>
    </row>
    <row r="36" spans="1:11" s="616" customFormat="1" ht="15.5">
      <c r="A36" s="611">
        <v>32</v>
      </c>
      <c r="B36" s="611">
        <v>6</v>
      </c>
      <c r="C36" s="75" t="s">
        <v>480</v>
      </c>
      <c r="D36" s="617" t="str">
        <f>IFERROR(VLOOKUP(C36,Foundation!$C$5:$D$143,2,0),"")</f>
        <v>DA+9</v>
      </c>
      <c r="E36" s="1029" t="s">
        <v>405</v>
      </c>
      <c r="F36" s="613">
        <v>45576</v>
      </c>
      <c r="G36" s="613">
        <f t="shared" si="0"/>
        <v>45576</v>
      </c>
      <c r="H36" s="614" t="s">
        <v>952</v>
      </c>
      <c r="I36" s="614" t="s">
        <v>889</v>
      </c>
      <c r="J36" s="611" t="s">
        <v>1085</v>
      </c>
      <c r="K36" s="614" t="s">
        <v>255</v>
      </c>
    </row>
    <row r="37" spans="1:11" s="616" customFormat="1" ht="15.5">
      <c r="A37" s="611">
        <v>33</v>
      </c>
      <c r="B37" s="611">
        <v>7</v>
      </c>
      <c r="C37" s="75" t="s">
        <v>893</v>
      </c>
      <c r="D37" s="617" t="str">
        <f>IFERROR(VLOOKUP(C37,Foundation!$C$5:$D$143,2,0),"")</f>
        <v>DA+6</v>
      </c>
      <c r="E37" s="1029" t="s">
        <v>405</v>
      </c>
      <c r="F37" s="613">
        <v>45577</v>
      </c>
      <c r="G37" s="613">
        <f t="shared" si="0"/>
        <v>45577</v>
      </c>
      <c r="H37" s="614" t="s">
        <v>952</v>
      </c>
      <c r="I37" s="614" t="s">
        <v>889</v>
      </c>
      <c r="J37" s="611" t="s">
        <v>1085</v>
      </c>
      <c r="K37" s="614" t="s">
        <v>255</v>
      </c>
    </row>
    <row r="38" spans="1:11" s="616" customFormat="1" ht="15.5">
      <c r="A38" s="611">
        <v>34</v>
      </c>
      <c r="B38" s="611">
        <v>8</v>
      </c>
      <c r="C38" s="75" t="s">
        <v>462</v>
      </c>
      <c r="D38" s="617" t="str">
        <f>IFERROR(VLOOKUP(C38,Foundation!$C$5:$D$143,2,0),"")</f>
        <v>DA-1.5</v>
      </c>
      <c r="E38" s="1029" t="s">
        <v>405</v>
      </c>
      <c r="F38" s="613">
        <v>45577</v>
      </c>
      <c r="G38" s="613">
        <f t="shared" si="0"/>
        <v>45577</v>
      </c>
      <c r="H38" s="614" t="s">
        <v>952</v>
      </c>
      <c r="I38" s="614" t="s">
        <v>889</v>
      </c>
      <c r="J38" s="611" t="s">
        <v>1085</v>
      </c>
      <c r="K38" s="614" t="s">
        <v>255</v>
      </c>
    </row>
    <row r="39" spans="1:11" s="616" customFormat="1" ht="15.5">
      <c r="A39" s="611">
        <v>35</v>
      </c>
      <c r="B39" s="611">
        <v>9</v>
      </c>
      <c r="C39" s="75" t="s">
        <v>460</v>
      </c>
      <c r="D39" s="617" t="str">
        <f>IFERROR(VLOOKUP(C39,Foundation!$C$5:$D$143,2,0),"")</f>
        <v>DA+9</v>
      </c>
      <c r="E39" s="1029" t="s">
        <v>405</v>
      </c>
      <c r="F39" s="613">
        <v>45577</v>
      </c>
      <c r="G39" s="613">
        <f t="shared" si="0"/>
        <v>45577</v>
      </c>
      <c r="H39" s="614" t="s">
        <v>952</v>
      </c>
      <c r="I39" s="614" t="s">
        <v>889</v>
      </c>
      <c r="J39" s="611" t="s">
        <v>1085</v>
      </c>
      <c r="K39" s="614" t="s">
        <v>255</v>
      </c>
    </row>
    <row r="40" spans="1:11" s="616" customFormat="1" ht="15.5">
      <c r="A40" s="611">
        <v>36</v>
      </c>
      <c r="B40" s="611">
        <v>10</v>
      </c>
      <c r="C40" s="75" t="s">
        <v>461</v>
      </c>
      <c r="D40" s="617" t="str">
        <f>IFERROR(VLOOKUP(C40,Foundation!$C$5:$D$143,2,0),"")</f>
        <v>DA+9</v>
      </c>
      <c r="E40" s="1029" t="s">
        <v>405</v>
      </c>
      <c r="F40" s="613">
        <v>45577</v>
      </c>
      <c r="G40" s="613">
        <f t="shared" si="0"/>
        <v>45577</v>
      </c>
      <c r="H40" s="614" t="s">
        <v>952</v>
      </c>
      <c r="I40" s="614" t="s">
        <v>889</v>
      </c>
      <c r="J40" s="611" t="s">
        <v>1085</v>
      </c>
      <c r="K40" s="614" t="s">
        <v>255</v>
      </c>
    </row>
    <row r="41" spans="1:11" s="616" customFormat="1" ht="15.5">
      <c r="A41" s="611">
        <v>37</v>
      </c>
      <c r="B41" s="611">
        <v>11</v>
      </c>
      <c r="C41" s="75" t="s">
        <v>415</v>
      </c>
      <c r="D41" s="617" t="str">
        <f>IFERROR(VLOOKUP(C41,Foundation!$C$5:$D$143,2,0),"")</f>
        <v>DA+3</v>
      </c>
      <c r="E41" s="1029" t="s">
        <v>405</v>
      </c>
      <c r="F41" s="613">
        <v>41925</v>
      </c>
      <c r="G41" s="613">
        <f t="shared" si="0"/>
        <v>41925</v>
      </c>
      <c r="H41" s="614" t="s">
        <v>952</v>
      </c>
      <c r="I41" s="614" t="s">
        <v>889</v>
      </c>
      <c r="J41" s="611" t="s">
        <v>1085</v>
      </c>
      <c r="K41" s="614" t="s">
        <v>255</v>
      </c>
    </row>
    <row r="42" spans="1:11" s="616" customFormat="1" ht="15.5">
      <c r="A42" s="611">
        <v>38</v>
      </c>
      <c r="B42" s="611">
        <v>12</v>
      </c>
      <c r="C42" s="75" t="s">
        <v>416</v>
      </c>
      <c r="D42" s="617" t="str">
        <f>IFERROR(VLOOKUP(C42,Foundation!$C$5:$D$143,2,0),"")</f>
        <v>DA+3</v>
      </c>
      <c r="E42" s="1029" t="s">
        <v>405</v>
      </c>
      <c r="F42" s="613">
        <v>41925</v>
      </c>
      <c r="G42" s="613">
        <f t="shared" si="0"/>
        <v>41925</v>
      </c>
      <c r="H42" s="614" t="s">
        <v>952</v>
      </c>
      <c r="I42" s="614" t="s">
        <v>889</v>
      </c>
      <c r="J42" s="611" t="s">
        <v>1085</v>
      </c>
      <c r="K42" s="614" t="s">
        <v>255</v>
      </c>
    </row>
    <row r="43" spans="1:11" s="616" customFormat="1" ht="15.5">
      <c r="A43" s="611">
        <v>39</v>
      </c>
      <c r="B43" s="611">
        <v>13</v>
      </c>
      <c r="C43" s="75" t="s">
        <v>417</v>
      </c>
      <c r="D43" s="617" t="str">
        <f>IFERROR(VLOOKUP(C43,Foundation!$C$5:$D$143,2,0),"")</f>
        <v>DA+6</v>
      </c>
      <c r="E43" s="1029" t="s">
        <v>405</v>
      </c>
      <c r="F43" s="613">
        <v>41925</v>
      </c>
      <c r="G43" s="613">
        <f t="shared" si="0"/>
        <v>41925</v>
      </c>
      <c r="H43" s="614" t="s">
        <v>952</v>
      </c>
      <c r="I43" s="614" t="s">
        <v>889</v>
      </c>
      <c r="J43" s="611" t="s">
        <v>1085</v>
      </c>
      <c r="K43" s="614" t="s">
        <v>255</v>
      </c>
    </row>
    <row r="44" spans="1:11" s="616" customFormat="1" ht="15.5">
      <c r="A44" s="611">
        <v>40</v>
      </c>
      <c r="B44" s="611">
        <v>14</v>
      </c>
      <c r="C44" s="75" t="s">
        <v>419</v>
      </c>
      <c r="D44" s="617" t="str">
        <f>IFERROR(VLOOKUP(C44,Foundation!$C$5:$D$143,2,0),"")</f>
        <v>DA+9</v>
      </c>
      <c r="E44" s="1029" t="s">
        <v>405</v>
      </c>
      <c r="F44" s="613">
        <v>41925</v>
      </c>
      <c r="G44" s="613">
        <f t="shared" si="0"/>
        <v>41925</v>
      </c>
      <c r="H44" s="614" t="s">
        <v>952</v>
      </c>
      <c r="I44" s="614" t="s">
        <v>889</v>
      </c>
      <c r="J44" s="611" t="s">
        <v>1085</v>
      </c>
      <c r="K44" s="614" t="s">
        <v>255</v>
      </c>
    </row>
    <row r="45" spans="1:11" s="616" customFormat="1" ht="15.5">
      <c r="A45" s="611">
        <v>41</v>
      </c>
      <c r="B45" s="611">
        <v>15</v>
      </c>
      <c r="C45" s="75" t="s">
        <v>422</v>
      </c>
      <c r="D45" s="617" t="str">
        <f>IFERROR(VLOOKUP(C45,Foundation!$C$5:$D$143,2,0),"")</f>
        <v>DA+0</v>
      </c>
      <c r="E45" s="1029" t="s">
        <v>405</v>
      </c>
      <c r="F45" s="613">
        <v>45579</v>
      </c>
      <c r="G45" s="613">
        <f t="shared" si="0"/>
        <v>45579</v>
      </c>
      <c r="H45" s="614" t="s">
        <v>952</v>
      </c>
      <c r="I45" s="614" t="s">
        <v>889</v>
      </c>
      <c r="J45" s="611" t="s">
        <v>1085</v>
      </c>
      <c r="K45" s="614" t="s">
        <v>255</v>
      </c>
    </row>
    <row r="46" spans="1:11" s="616" customFormat="1" ht="15.5">
      <c r="A46" s="611">
        <v>42</v>
      </c>
      <c r="B46" s="611">
        <v>16</v>
      </c>
      <c r="C46" s="75" t="s">
        <v>424</v>
      </c>
      <c r="D46" s="617" t="str">
        <f>IFERROR(VLOOKUP(C46,Foundation!$C$5:$D$143,2,0),"")</f>
        <v>DA+0</v>
      </c>
      <c r="E46" s="1029" t="s">
        <v>405</v>
      </c>
      <c r="F46" s="613">
        <v>45579</v>
      </c>
      <c r="G46" s="613">
        <f t="shared" si="0"/>
        <v>45579</v>
      </c>
      <c r="H46" s="614" t="s">
        <v>952</v>
      </c>
      <c r="I46" s="614" t="s">
        <v>889</v>
      </c>
      <c r="J46" s="611" t="s">
        <v>1085</v>
      </c>
      <c r="K46" s="614" t="s">
        <v>255</v>
      </c>
    </row>
    <row r="47" spans="1:11" s="616" customFormat="1" ht="15.5">
      <c r="A47" s="611">
        <v>43</v>
      </c>
      <c r="B47" s="611">
        <v>17</v>
      </c>
      <c r="C47" s="75" t="s">
        <v>421</v>
      </c>
      <c r="D47" s="617" t="str">
        <f>IFERROR(VLOOKUP(C47,Foundation!$C$5:$D$143,2,0),"")</f>
        <v>DA+1.5</v>
      </c>
      <c r="E47" s="1029" t="s">
        <v>405</v>
      </c>
      <c r="F47" s="613">
        <v>45579</v>
      </c>
      <c r="G47" s="613">
        <f t="shared" si="0"/>
        <v>45579</v>
      </c>
      <c r="H47" s="614" t="s">
        <v>952</v>
      </c>
      <c r="I47" s="614" t="s">
        <v>889</v>
      </c>
      <c r="J47" s="611" t="s">
        <v>1085</v>
      </c>
      <c r="K47" s="614" t="s">
        <v>255</v>
      </c>
    </row>
    <row r="48" spans="1:11" s="616" customFormat="1" ht="15.5">
      <c r="A48" s="611">
        <v>44</v>
      </c>
      <c r="B48" s="611">
        <v>18</v>
      </c>
      <c r="C48" s="75" t="s">
        <v>420</v>
      </c>
      <c r="D48" s="617" t="str">
        <f>IFERROR(VLOOKUP(C48,Foundation!$C$5:$D$143,2,0),"")</f>
        <v>DA+0</v>
      </c>
      <c r="E48" s="1029" t="s">
        <v>405</v>
      </c>
      <c r="F48" s="613">
        <v>45580</v>
      </c>
      <c r="G48" s="613">
        <f t="shared" si="0"/>
        <v>45580</v>
      </c>
      <c r="H48" s="614" t="s">
        <v>952</v>
      </c>
      <c r="I48" s="614" t="s">
        <v>889</v>
      </c>
      <c r="J48" s="611" t="s">
        <v>1085</v>
      </c>
      <c r="K48" s="614" t="s">
        <v>255</v>
      </c>
    </row>
    <row r="49" spans="1:11" s="616" customFormat="1" ht="15.5">
      <c r="A49" s="611">
        <v>45</v>
      </c>
      <c r="B49" s="611">
        <v>19</v>
      </c>
      <c r="C49" s="75" t="s">
        <v>418</v>
      </c>
      <c r="D49" s="617" t="str">
        <f>IFERROR(VLOOKUP(C49,Foundation!$C$5:$D$143,2,0),"")</f>
        <v>DA+3</v>
      </c>
      <c r="E49" s="1029" t="s">
        <v>405</v>
      </c>
      <c r="F49" s="613">
        <v>45580</v>
      </c>
      <c r="G49" s="613">
        <f t="shared" si="0"/>
        <v>45580</v>
      </c>
      <c r="H49" s="614" t="s">
        <v>952</v>
      </c>
      <c r="I49" s="614" t="s">
        <v>889</v>
      </c>
      <c r="J49" s="611" t="s">
        <v>1085</v>
      </c>
      <c r="K49" s="614" t="s">
        <v>255</v>
      </c>
    </row>
    <row r="50" spans="1:11" s="616" customFormat="1" ht="15.5">
      <c r="A50" s="611">
        <v>46</v>
      </c>
      <c r="B50" s="611">
        <v>20</v>
      </c>
      <c r="C50" s="75" t="s">
        <v>162</v>
      </c>
      <c r="D50" s="617" t="str">
        <f>IFERROR(VLOOKUP(C50,Foundation!$C$5:$D$143,2,0),"")</f>
        <v>DA-3</v>
      </c>
      <c r="E50" s="1029" t="s">
        <v>405</v>
      </c>
      <c r="F50" s="613">
        <v>45580</v>
      </c>
      <c r="G50" s="613">
        <f t="shared" si="0"/>
        <v>45580</v>
      </c>
      <c r="H50" s="614" t="s">
        <v>952</v>
      </c>
      <c r="I50" s="614" t="s">
        <v>1086</v>
      </c>
      <c r="J50" s="611" t="s">
        <v>1085</v>
      </c>
      <c r="K50" s="614" t="s">
        <v>255</v>
      </c>
    </row>
    <row r="51" spans="1:11" s="616" customFormat="1" ht="15.5">
      <c r="A51" s="611">
        <v>47</v>
      </c>
      <c r="B51" s="611">
        <v>21</v>
      </c>
      <c r="C51" s="75" t="s">
        <v>26</v>
      </c>
      <c r="D51" s="617" t="str">
        <f>IFERROR(VLOOKUP(C51,Foundation!$C$5:$D$143,2,0),"")</f>
        <v>DA+0</v>
      </c>
      <c r="E51" s="1029" t="s">
        <v>405</v>
      </c>
      <c r="F51" s="613">
        <v>45580</v>
      </c>
      <c r="G51" s="613">
        <f t="shared" si="0"/>
        <v>45580</v>
      </c>
      <c r="H51" s="614" t="s">
        <v>952</v>
      </c>
      <c r="I51" s="614" t="s">
        <v>1086</v>
      </c>
      <c r="J51" s="611" t="s">
        <v>1085</v>
      </c>
      <c r="K51" s="614" t="s">
        <v>255</v>
      </c>
    </row>
    <row r="52" spans="1:11" s="616" customFormat="1" ht="15.5">
      <c r="A52" s="611">
        <v>48</v>
      </c>
      <c r="B52" s="611">
        <v>22</v>
      </c>
      <c r="C52" s="75" t="s">
        <v>61</v>
      </c>
      <c r="D52" s="617" t="str">
        <f>IFERROR(VLOOKUP(C52,Foundation!$C$5:$D$143,2,0),"")</f>
        <v>DA+9</v>
      </c>
      <c r="E52" s="1029" t="s">
        <v>405</v>
      </c>
      <c r="F52" s="618">
        <v>45581</v>
      </c>
      <c r="G52" s="613">
        <f t="shared" si="0"/>
        <v>45581</v>
      </c>
      <c r="H52" s="614" t="s">
        <v>952</v>
      </c>
      <c r="I52" s="614" t="s">
        <v>1086</v>
      </c>
      <c r="J52" s="611" t="s">
        <v>1085</v>
      </c>
      <c r="K52" s="614" t="s">
        <v>255</v>
      </c>
    </row>
    <row r="53" spans="1:11" s="616" customFormat="1" ht="15.5">
      <c r="A53" s="611">
        <v>49</v>
      </c>
      <c r="B53" s="611">
        <v>23</v>
      </c>
      <c r="C53" s="75" t="s">
        <v>62</v>
      </c>
      <c r="D53" s="617" t="str">
        <f>IFERROR(VLOOKUP(C53,Foundation!$C$5:$D$143,2,0),"")</f>
        <v>DA-1.5</v>
      </c>
      <c r="E53" s="1029" t="s">
        <v>405</v>
      </c>
      <c r="F53" s="618">
        <v>45581</v>
      </c>
      <c r="G53" s="613">
        <f t="shared" si="0"/>
        <v>45581</v>
      </c>
      <c r="H53" s="614" t="s">
        <v>952</v>
      </c>
      <c r="I53" s="614" t="s">
        <v>1086</v>
      </c>
      <c r="J53" s="611" t="s">
        <v>1085</v>
      </c>
      <c r="K53" s="614" t="s">
        <v>255</v>
      </c>
    </row>
    <row r="54" spans="1:11" s="616" customFormat="1" ht="15.5">
      <c r="A54" s="611">
        <v>50</v>
      </c>
      <c r="B54" s="611">
        <v>24</v>
      </c>
      <c r="C54" s="75" t="s">
        <v>153</v>
      </c>
      <c r="D54" s="617" t="str">
        <f>IFERROR(VLOOKUP(C54,Foundation!$C$5:$D$143,2,0),"")</f>
        <v>DA+1.5</v>
      </c>
      <c r="E54" s="1029" t="s">
        <v>405</v>
      </c>
      <c r="F54" s="618">
        <v>45581</v>
      </c>
      <c r="G54" s="613">
        <f t="shared" si="0"/>
        <v>45581</v>
      </c>
      <c r="H54" s="614" t="s">
        <v>952</v>
      </c>
      <c r="I54" s="614" t="s">
        <v>1086</v>
      </c>
      <c r="J54" s="611" t="s">
        <v>1085</v>
      </c>
      <c r="K54" s="614" t="s">
        <v>255</v>
      </c>
    </row>
    <row r="55" spans="1:11" s="616" customFormat="1" ht="15.5">
      <c r="A55" s="611">
        <v>51</v>
      </c>
      <c r="B55" s="611">
        <v>25</v>
      </c>
      <c r="C55" s="75" t="s">
        <v>155</v>
      </c>
      <c r="D55" s="617" t="str">
        <f>IFERROR(VLOOKUP(C55,Foundation!$C$5:$D$143,2,0),"")</f>
        <v>DA+1.5</v>
      </c>
      <c r="E55" s="1029" t="s">
        <v>405</v>
      </c>
      <c r="F55" s="618">
        <v>45581</v>
      </c>
      <c r="G55" s="613">
        <f t="shared" si="0"/>
        <v>45581</v>
      </c>
      <c r="H55" s="614" t="s">
        <v>952</v>
      </c>
      <c r="I55" s="614" t="s">
        <v>1086</v>
      </c>
      <c r="J55" s="611" t="s">
        <v>1085</v>
      </c>
      <c r="K55" s="614" t="s">
        <v>255</v>
      </c>
    </row>
    <row r="56" spans="1:11" s="616" customFormat="1" ht="15.5">
      <c r="A56" s="611">
        <v>52</v>
      </c>
      <c r="B56" s="611">
        <v>26</v>
      </c>
      <c r="C56" s="75" t="s">
        <v>156</v>
      </c>
      <c r="D56" s="617" t="str">
        <f>IFERROR(VLOOKUP(C56,Foundation!$C$5:$D$143,2,0),"")</f>
        <v>DA-1.5</v>
      </c>
      <c r="E56" s="1029" t="s">
        <v>405</v>
      </c>
      <c r="F56" s="618">
        <v>45581</v>
      </c>
      <c r="G56" s="613">
        <f t="shared" si="0"/>
        <v>45581</v>
      </c>
      <c r="H56" s="614" t="s">
        <v>952</v>
      </c>
      <c r="I56" s="614" t="s">
        <v>1086</v>
      </c>
      <c r="J56" s="611" t="s">
        <v>1085</v>
      </c>
      <c r="K56" s="614" t="s">
        <v>255</v>
      </c>
    </row>
    <row r="57" spans="1:11" s="616" customFormat="1" ht="15.5">
      <c r="A57" s="611">
        <v>53</v>
      </c>
      <c r="B57" s="611">
        <v>27</v>
      </c>
      <c r="C57" s="75" t="s">
        <v>432</v>
      </c>
      <c r="D57" s="617" t="str">
        <f>IFERROR(VLOOKUP(C57,Foundation!$C$5:$D$143,2,0),"")</f>
        <v>DA+6</v>
      </c>
      <c r="E57" s="1029" t="s">
        <v>405</v>
      </c>
      <c r="F57" s="618">
        <v>45581</v>
      </c>
      <c r="G57" s="613">
        <f t="shared" ref="G57:G88" si="1">F57</f>
        <v>45581</v>
      </c>
      <c r="H57" s="614" t="s">
        <v>952</v>
      </c>
      <c r="I57" s="614" t="s">
        <v>1086</v>
      </c>
      <c r="J57" s="611" t="s">
        <v>1085</v>
      </c>
      <c r="K57" s="614" t="s">
        <v>255</v>
      </c>
    </row>
    <row r="58" spans="1:11" s="616" customFormat="1" ht="15.5">
      <c r="A58" s="611">
        <v>54</v>
      </c>
      <c r="B58" s="611">
        <v>28</v>
      </c>
      <c r="C58" s="75" t="s">
        <v>434</v>
      </c>
      <c r="D58" s="617" t="str">
        <f>IFERROR(VLOOKUP(C58,Foundation!$C$5:$D$143,2,0),"")</f>
        <v>DA+0</v>
      </c>
      <c r="E58" s="1029" t="s">
        <v>405</v>
      </c>
      <c r="F58" s="618">
        <v>45582</v>
      </c>
      <c r="G58" s="613">
        <f t="shared" si="1"/>
        <v>45582</v>
      </c>
      <c r="H58" s="614" t="s">
        <v>952</v>
      </c>
      <c r="I58" s="614" t="s">
        <v>1086</v>
      </c>
      <c r="J58" s="611" t="s">
        <v>1085</v>
      </c>
      <c r="K58" s="614" t="s">
        <v>255</v>
      </c>
    </row>
    <row r="59" spans="1:11" s="616" customFormat="1" ht="15.5">
      <c r="A59" s="611">
        <v>55</v>
      </c>
      <c r="B59" s="611">
        <v>29</v>
      </c>
      <c r="C59" s="75" t="s">
        <v>435</v>
      </c>
      <c r="D59" s="617" t="str">
        <f>IFERROR(VLOOKUP(C59,Foundation!$C$5:$D$143,2,0),"")</f>
        <v>DA+3</v>
      </c>
      <c r="E59" s="1029" t="s">
        <v>405</v>
      </c>
      <c r="F59" s="618">
        <v>45582</v>
      </c>
      <c r="G59" s="613">
        <f t="shared" si="1"/>
        <v>45582</v>
      </c>
      <c r="H59" s="614" t="s">
        <v>952</v>
      </c>
      <c r="I59" s="614" t="s">
        <v>1086</v>
      </c>
      <c r="J59" s="611" t="s">
        <v>1085</v>
      </c>
      <c r="K59" s="614" t="s">
        <v>255</v>
      </c>
    </row>
    <row r="60" spans="1:11" s="616" customFormat="1" ht="15.5">
      <c r="A60" s="611">
        <v>56</v>
      </c>
      <c r="B60" s="611">
        <v>30</v>
      </c>
      <c r="C60" s="75" t="s">
        <v>436</v>
      </c>
      <c r="D60" s="617" t="str">
        <f>IFERROR(VLOOKUP(C60,Foundation!$C$5:$D$143,2,0),"")</f>
        <v>DA+0</v>
      </c>
      <c r="E60" s="1029" t="s">
        <v>405</v>
      </c>
      <c r="F60" s="618">
        <v>45582</v>
      </c>
      <c r="G60" s="613">
        <f t="shared" si="1"/>
        <v>45582</v>
      </c>
      <c r="H60" s="614" t="s">
        <v>952</v>
      </c>
      <c r="I60" s="614" t="s">
        <v>1086</v>
      </c>
      <c r="J60" s="611" t="s">
        <v>1085</v>
      </c>
      <c r="K60" s="614" t="s">
        <v>255</v>
      </c>
    </row>
    <row r="61" spans="1:11" s="616" customFormat="1" ht="15.5">
      <c r="A61" s="611">
        <v>57</v>
      </c>
      <c r="B61" s="611">
        <v>31</v>
      </c>
      <c r="C61" s="75" t="s">
        <v>902</v>
      </c>
      <c r="D61" s="617" t="str">
        <f>IFERROR(VLOOKUP(C61,Foundation!$C$5:$D$143,2,0),"")</f>
        <v>DA+6</v>
      </c>
      <c r="E61" s="1029" t="s">
        <v>405</v>
      </c>
      <c r="F61" s="618">
        <v>45582</v>
      </c>
      <c r="G61" s="613">
        <f t="shared" si="1"/>
        <v>45582</v>
      </c>
      <c r="H61" s="614" t="s">
        <v>952</v>
      </c>
      <c r="I61" s="614" t="s">
        <v>1086</v>
      </c>
      <c r="J61" s="611" t="s">
        <v>1085</v>
      </c>
      <c r="K61" s="614" t="s">
        <v>255</v>
      </c>
    </row>
    <row r="62" spans="1:11" s="616" customFormat="1" ht="15.5">
      <c r="A62" s="611">
        <v>58</v>
      </c>
      <c r="B62" s="611">
        <v>32</v>
      </c>
      <c r="C62" s="75" t="s">
        <v>906</v>
      </c>
      <c r="D62" s="617" t="str">
        <f>IFERROR(VLOOKUP(C62,Foundation!$C$5:$D$143,2,0),"")</f>
        <v>DA+9</v>
      </c>
      <c r="E62" s="1029" t="s">
        <v>405</v>
      </c>
      <c r="F62" s="618">
        <v>45583</v>
      </c>
      <c r="G62" s="613">
        <f t="shared" si="1"/>
        <v>45583</v>
      </c>
      <c r="H62" s="614" t="s">
        <v>952</v>
      </c>
      <c r="I62" s="614" t="s">
        <v>1086</v>
      </c>
      <c r="J62" s="611" t="s">
        <v>1085</v>
      </c>
      <c r="K62" s="614" t="s">
        <v>255</v>
      </c>
    </row>
    <row r="63" spans="1:11" s="616" customFormat="1" ht="15.5">
      <c r="A63" s="611">
        <v>59</v>
      </c>
      <c r="B63" s="611">
        <v>33</v>
      </c>
      <c r="C63" s="75" t="s">
        <v>903</v>
      </c>
      <c r="D63" s="617" t="str">
        <f>IFERROR(VLOOKUP(C63,Foundation!$C$5:$D$143,2,0),"")</f>
        <v>DA+6</v>
      </c>
      <c r="E63" s="1029" t="s">
        <v>405</v>
      </c>
      <c r="F63" s="618">
        <v>45584</v>
      </c>
      <c r="G63" s="613">
        <f t="shared" si="1"/>
        <v>45584</v>
      </c>
      <c r="H63" s="614" t="s">
        <v>952</v>
      </c>
      <c r="I63" s="614" t="s">
        <v>1094</v>
      </c>
      <c r="J63" s="611" t="s">
        <v>1085</v>
      </c>
      <c r="K63" s="614" t="s">
        <v>255</v>
      </c>
    </row>
    <row r="64" spans="1:11" s="616" customFormat="1" ht="15.5">
      <c r="A64" s="611">
        <v>60</v>
      </c>
      <c r="B64" s="611">
        <v>34</v>
      </c>
      <c r="C64" s="75" t="s">
        <v>905</v>
      </c>
      <c r="D64" s="617" t="str">
        <f>IFERROR(VLOOKUP(C64,Foundation!$C$5:$D$143,2,0),"")</f>
        <v>DA+6</v>
      </c>
      <c r="E64" s="1029" t="s">
        <v>405</v>
      </c>
      <c r="F64" s="618">
        <v>45584</v>
      </c>
      <c r="G64" s="613">
        <f t="shared" si="1"/>
        <v>45584</v>
      </c>
      <c r="H64" s="614" t="s">
        <v>952</v>
      </c>
      <c r="I64" s="614" t="s">
        <v>1094</v>
      </c>
      <c r="J64" s="611" t="s">
        <v>1085</v>
      </c>
      <c r="K64" s="614" t="s">
        <v>255</v>
      </c>
    </row>
    <row r="65" spans="1:11" s="616" customFormat="1" ht="15.5">
      <c r="A65" s="611">
        <v>61</v>
      </c>
      <c r="B65" s="611">
        <v>35</v>
      </c>
      <c r="C65" s="75" t="s">
        <v>164</v>
      </c>
      <c r="D65" s="617" t="str">
        <f>IFERROR(VLOOKUP(C65,Foundation!$C$5:$D$143,2,0),"")</f>
        <v>DA+3</v>
      </c>
      <c r="E65" s="1029" t="s">
        <v>405</v>
      </c>
      <c r="F65" s="618">
        <v>45584</v>
      </c>
      <c r="G65" s="613">
        <f t="shared" si="1"/>
        <v>45584</v>
      </c>
      <c r="H65" s="614" t="s">
        <v>952</v>
      </c>
      <c r="I65" s="614" t="s">
        <v>1094</v>
      </c>
      <c r="J65" s="611" t="s">
        <v>1085</v>
      </c>
      <c r="K65" s="614" t="s">
        <v>255</v>
      </c>
    </row>
    <row r="66" spans="1:11" s="616" customFormat="1" ht="15.5">
      <c r="A66" s="611">
        <v>62</v>
      </c>
      <c r="B66" s="611">
        <v>36</v>
      </c>
      <c r="C66" s="75" t="s">
        <v>448</v>
      </c>
      <c r="D66" s="617" t="str">
        <f>IFERROR(VLOOKUP(C66,Foundation!$C$5:$D$143,2,0),"")</f>
        <v>DA+9</v>
      </c>
      <c r="E66" s="1029" t="s">
        <v>405</v>
      </c>
      <c r="F66" s="618">
        <v>45584</v>
      </c>
      <c r="G66" s="613">
        <f t="shared" si="1"/>
        <v>45584</v>
      </c>
      <c r="H66" s="614" t="s">
        <v>952</v>
      </c>
      <c r="I66" s="614" t="s">
        <v>1094</v>
      </c>
      <c r="J66" s="611" t="s">
        <v>1085</v>
      </c>
      <c r="K66" s="614" t="s">
        <v>255</v>
      </c>
    </row>
    <row r="67" spans="1:11" s="616" customFormat="1" ht="15.5">
      <c r="A67" s="611">
        <v>63</v>
      </c>
      <c r="B67" s="611">
        <v>37</v>
      </c>
      <c r="C67" s="75" t="s">
        <v>450</v>
      </c>
      <c r="D67" s="617" t="str">
        <f>IFERROR(VLOOKUP(C67,Foundation!$C$5:$D$143,2,0),"")</f>
        <v>DA+0</v>
      </c>
      <c r="E67" s="1029" t="s">
        <v>405</v>
      </c>
      <c r="F67" s="618">
        <v>45584</v>
      </c>
      <c r="G67" s="613">
        <f t="shared" si="1"/>
        <v>45584</v>
      </c>
      <c r="H67" s="614" t="s">
        <v>952</v>
      </c>
      <c r="I67" s="614" t="s">
        <v>1094</v>
      </c>
      <c r="J67" s="611" t="s">
        <v>1085</v>
      </c>
      <c r="K67" s="614" t="s">
        <v>255</v>
      </c>
    </row>
    <row r="68" spans="1:11" s="616" customFormat="1" ht="15.5">
      <c r="A68" s="611">
        <v>64</v>
      </c>
      <c r="B68" s="611">
        <v>38</v>
      </c>
      <c r="C68" s="75" t="s">
        <v>449</v>
      </c>
      <c r="D68" s="617" t="str">
        <f>IFERROR(VLOOKUP(C68,Foundation!$C$5:$D$143,2,0),"")</f>
        <v>DA+0</v>
      </c>
      <c r="E68" s="1029" t="s">
        <v>405</v>
      </c>
      <c r="F68" s="618">
        <v>45585</v>
      </c>
      <c r="G68" s="613">
        <f t="shared" si="1"/>
        <v>45585</v>
      </c>
      <c r="H68" s="614" t="s">
        <v>952</v>
      </c>
      <c r="I68" s="614" t="s">
        <v>1094</v>
      </c>
      <c r="J68" s="611" t="s">
        <v>1085</v>
      </c>
      <c r="K68" s="614" t="s">
        <v>255</v>
      </c>
    </row>
    <row r="69" spans="1:11" s="616" customFormat="1" ht="15.5">
      <c r="A69" s="611">
        <v>65</v>
      </c>
      <c r="B69" s="611">
        <v>39</v>
      </c>
      <c r="C69" s="75" t="s">
        <v>451</v>
      </c>
      <c r="D69" s="617" t="str">
        <f>IFERROR(VLOOKUP(C69,Foundation!$C$5:$D$143,2,0),"")</f>
        <v>DA+1.5</v>
      </c>
      <c r="E69" s="1029" t="s">
        <v>405</v>
      </c>
      <c r="F69" s="618">
        <v>45585</v>
      </c>
      <c r="G69" s="613">
        <f t="shared" si="1"/>
        <v>45585</v>
      </c>
      <c r="H69" s="614" t="s">
        <v>952</v>
      </c>
      <c r="I69" s="614" t="s">
        <v>1094</v>
      </c>
      <c r="J69" s="611" t="s">
        <v>1085</v>
      </c>
      <c r="K69" s="614" t="s">
        <v>255</v>
      </c>
    </row>
    <row r="70" spans="1:11" s="616" customFormat="1" ht="15.5">
      <c r="A70" s="611">
        <v>66</v>
      </c>
      <c r="B70" s="611">
        <v>40</v>
      </c>
      <c r="C70" s="75" t="s">
        <v>875</v>
      </c>
      <c r="D70" s="617" t="str">
        <f>IFERROR(VLOOKUP(C70,Foundation!$C$5:$D$143,2,0),"")</f>
        <v>DA+6</v>
      </c>
      <c r="E70" s="1029" t="s">
        <v>405</v>
      </c>
      <c r="F70" s="618">
        <v>45585</v>
      </c>
      <c r="G70" s="613">
        <f t="shared" si="1"/>
        <v>45585</v>
      </c>
      <c r="H70" s="614" t="s">
        <v>952</v>
      </c>
      <c r="I70" s="614" t="s">
        <v>1094</v>
      </c>
      <c r="J70" s="611" t="s">
        <v>1085</v>
      </c>
      <c r="K70" s="614" t="s">
        <v>255</v>
      </c>
    </row>
    <row r="71" spans="1:11" s="616" customFormat="1" ht="15.5">
      <c r="A71" s="611">
        <v>67</v>
      </c>
      <c r="B71" s="611">
        <v>41</v>
      </c>
      <c r="C71" s="75" t="s">
        <v>577</v>
      </c>
      <c r="D71" s="617" t="str">
        <f>IFERROR(VLOOKUP(C71,Foundation!$C$5:$D$143,2,0),"")</f>
        <v>DA+9</v>
      </c>
      <c r="E71" s="1029" t="s">
        <v>405</v>
      </c>
      <c r="F71" s="618">
        <v>45585</v>
      </c>
      <c r="G71" s="613">
        <f t="shared" si="1"/>
        <v>45585</v>
      </c>
      <c r="H71" s="614" t="s">
        <v>952</v>
      </c>
      <c r="I71" s="614" t="s">
        <v>1094</v>
      </c>
      <c r="J71" s="611" t="s">
        <v>1085</v>
      </c>
      <c r="K71" s="614" t="s">
        <v>255</v>
      </c>
    </row>
    <row r="72" spans="1:11" s="616" customFormat="1" ht="15.5">
      <c r="A72" s="611">
        <v>68</v>
      </c>
      <c r="B72" s="611">
        <v>42</v>
      </c>
      <c r="C72" s="75" t="s">
        <v>70</v>
      </c>
      <c r="D72" s="617" t="str">
        <f>IFERROR(VLOOKUP(C72,Foundation!$C$5:$D$143,2,0),"")</f>
        <v>DA+3</v>
      </c>
      <c r="E72" s="1029" t="s">
        <v>405</v>
      </c>
      <c r="F72" s="618">
        <v>45585</v>
      </c>
      <c r="G72" s="613">
        <f t="shared" si="1"/>
        <v>45585</v>
      </c>
      <c r="H72" s="614" t="s">
        <v>952</v>
      </c>
      <c r="I72" s="614" t="s">
        <v>1094</v>
      </c>
      <c r="J72" s="611" t="s">
        <v>1085</v>
      </c>
      <c r="K72" s="614" t="s">
        <v>255</v>
      </c>
    </row>
    <row r="73" spans="1:11" s="616" customFormat="1" ht="15.5">
      <c r="A73" s="611">
        <v>69</v>
      </c>
      <c r="B73" s="611">
        <v>43</v>
      </c>
      <c r="C73" s="75" t="s">
        <v>187</v>
      </c>
      <c r="D73" s="617" t="str">
        <f>IFERROR(VLOOKUP(C73,Foundation!$C$5:$D$143,2,0),"")</f>
        <v>DA+3</v>
      </c>
      <c r="E73" s="1029" t="s">
        <v>405</v>
      </c>
      <c r="F73" s="618">
        <v>45585</v>
      </c>
      <c r="G73" s="613">
        <f t="shared" si="1"/>
        <v>45585</v>
      </c>
      <c r="H73" s="614" t="s">
        <v>952</v>
      </c>
      <c r="I73" s="614" t="s">
        <v>1094</v>
      </c>
      <c r="J73" s="611" t="s">
        <v>1085</v>
      </c>
      <c r="K73" s="614" t="s">
        <v>255</v>
      </c>
    </row>
    <row r="74" spans="1:11" s="616" customFormat="1" ht="15.5">
      <c r="A74" s="611">
        <v>70</v>
      </c>
      <c r="B74" s="611">
        <v>44</v>
      </c>
      <c r="C74" s="75" t="s">
        <v>572</v>
      </c>
      <c r="D74" s="617" t="str">
        <f>IFERROR(VLOOKUP(C74,Foundation!$C$5:$D$143,2,0),"")</f>
        <v>DA+6</v>
      </c>
      <c r="E74" s="1029" t="s">
        <v>405</v>
      </c>
      <c r="F74" s="618">
        <v>45585</v>
      </c>
      <c r="G74" s="613">
        <f t="shared" si="1"/>
        <v>45585</v>
      </c>
      <c r="H74" s="614" t="s">
        <v>952</v>
      </c>
      <c r="I74" s="614" t="s">
        <v>1094</v>
      </c>
      <c r="J74" s="611" t="s">
        <v>1085</v>
      </c>
      <c r="K74" s="614" t="s">
        <v>255</v>
      </c>
    </row>
    <row r="75" spans="1:11" s="616" customFormat="1" ht="15.5">
      <c r="A75" s="611">
        <v>71</v>
      </c>
      <c r="B75" s="611">
        <v>45</v>
      </c>
      <c r="C75" s="75" t="s">
        <v>573</v>
      </c>
      <c r="D75" s="617" t="str">
        <f>IFERROR(VLOOKUP(C75,Foundation!$C$5:$D$143,2,0),"")</f>
        <v>DA+6</v>
      </c>
      <c r="E75" s="1029" t="s">
        <v>405</v>
      </c>
      <c r="F75" s="618">
        <v>45585</v>
      </c>
      <c r="G75" s="613">
        <f t="shared" si="1"/>
        <v>45585</v>
      </c>
      <c r="H75" s="614" t="s">
        <v>952</v>
      </c>
      <c r="I75" s="614" t="s">
        <v>1094</v>
      </c>
      <c r="J75" s="611" t="s">
        <v>1085</v>
      </c>
      <c r="K75" s="614" t="s">
        <v>255</v>
      </c>
    </row>
    <row r="76" spans="1:11" s="616" customFormat="1" ht="15.5">
      <c r="A76" s="611">
        <v>72</v>
      </c>
      <c r="B76" s="611">
        <v>46</v>
      </c>
      <c r="C76" s="75" t="s">
        <v>578</v>
      </c>
      <c r="D76" s="617" t="str">
        <f>IFERROR(VLOOKUP(C76,Foundation!$C$5:$D$143,2,0),"")</f>
        <v>DA+9</v>
      </c>
      <c r="E76" s="1029" t="s">
        <v>405</v>
      </c>
      <c r="F76" s="618">
        <v>45587</v>
      </c>
      <c r="G76" s="613">
        <f t="shared" si="1"/>
        <v>45587</v>
      </c>
      <c r="H76" s="614" t="s">
        <v>952</v>
      </c>
      <c r="I76" s="614" t="s">
        <v>1094</v>
      </c>
      <c r="J76" s="611" t="s">
        <v>1085</v>
      </c>
      <c r="K76" s="614" t="s">
        <v>255</v>
      </c>
    </row>
    <row r="77" spans="1:11" s="616" customFormat="1" ht="15.5">
      <c r="A77" s="611">
        <v>73</v>
      </c>
      <c r="B77" s="611">
        <v>47</v>
      </c>
      <c r="C77" s="75" t="s">
        <v>579</v>
      </c>
      <c r="D77" s="617" t="str">
        <f>IFERROR(VLOOKUP(C77,Foundation!$C$5:$D$143,2,0),"")</f>
        <v>DA+1.5</v>
      </c>
      <c r="E77" s="1029" t="s">
        <v>405</v>
      </c>
      <c r="F77" s="618">
        <v>45587</v>
      </c>
      <c r="G77" s="613">
        <f t="shared" si="1"/>
        <v>45587</v>
      </c>
      <c r="H77" s="614" t="s">
        <v>952</v>
      </c>
      <c r="I77" s="614" t="s">
        <v>1094</v>
      </c>
      <c r="J77" s="611" t="s">
        <v>1085</v>
      </c>
      <c r="K77" s="614" t="s">
        <v>255</v>
      </c>
    </row>
    <row r="78" spans="1:11" s="616" customFormat="1" ht="15.5">
      <c r="A78" s="611">
        <v>74</v>
      </c>
      <c r="B78" s="611">
        <v>48</v>
      </c>
      <c r="C78" s="75" t="s">
        <v>581</v>
      </c>
      <c r="D78" s="617" t="str">
        <f>IFERROR(VLOOKUP(C78,Foundation!$C$5:$D$143,2,0),"")</f>
        <v>DA+9</v>
      </c>
      <c r="E78" s="1029" t="s">
        <v>405</v>
      </c>
      <c r="F78" s="618">
        <v>45587</v>
      </c>
      <c r="G78" s="613">
        <f t="shared" si="1"/>
        <v>45587</v>
      </c>
      <c r="H78" s="614" t="s">
        <v>952</v>
      </c>
      <c r="I78" s="614" t="s">
        <v>1094</v>
      </c>
      <c r="J78" s="611" t="s">
        <v>1085</v>
      </c>
      <c r="K78" s="614" t="s">
        <v>255</v>
      </c>
    </row>
    <row r="79" spans="1:11" s="616" customFormat="1" ht="15.5">
      <c r="A79" s="611">
        <v>75</v>
      </c>
      <c r="B79" s="611">
        <v>49</v>
      </c>
      <c r="C79" s="75" t="s">
        <v>582</v>
      </c>
      <c r="D79" s="617" t="str">
        <f>IFERROR(VLOOKUP(C79,Foundation!$C$5:$D$143,2,0),"")</f>
        <v>DA+3</v>
      </c>
      <c r="E79" s="1029" t="s">
        <v>405</v>
      </c>
      <c r="F79" s="618">
        <v>45588</v>
      </c>
      <c r="G79" s="613">
        <f t="shared" si="1"/>
        <v>45588</v>
      </c>
      <c r="H79" s="614" t="s">
        <v>952</v>
      </c>
      <c r="I79" s="614" t="s">
        <v>1094</v>
      </c>
      <c r="J79" s="611" t="s">
        <v>1085</v>
      </c>
      <c r="K79" s="614" t="s">
        <v>255</v>
      </c>
    </row>
    <row r="80" spans="1:11" s="616" customFormat="1" ht="15.5">
      <c r="A80" s="611">
        <v>76</v>
      </c>
      <c r="B80" s="611">
        <v>50</v>
      </c>
      <c r="C80" s="75" t="s">
        <v>583</v>
      </c>
      <c r="D80" s="617" t="str">
        <f>IFERROR(VLOOKUP(C80,Foundation!$C$5:$D$143,2,0),"")</f>
        <v>DA+0</v>
      </c>
      <c r="E80" s="1029" t="s">
        <v>405</v>
      </c>
      <c r="F80" s="618">
        <v>45588</v>
      </c>
      <c r="G80" s="613">
        <f t="shared" si="1"/>
        <v>45588</v>
      </c>
      <c r="H80" s="614" t="s">
        <v>952</v>
      </c>
      <c r="I80" s="614" t="s">
        <v>1094</v>
      </c>
      <c r="J80" s="611" t="s">
        <v>1085</v>
      </c>
      <c r="K80" s="614" t="s">
        <v>255</v>
      </c>
    </row>
    <row r="81" spans="1:11" s="616" customFormat="1" ht="15.5">
      <c r="A81" s="611">
        <v>77</v>
      </c>
      <c r="B81" s="611">
        <v>51</v>
      </c>
      <c r="C81" s="75" t="s">
        <v>585</v>
      </c>
      <c r="D81" s="617" t="str">
        <f>IFERROR(VLOOKUP(C81,Foundation!$C$5:$D$143,2,0),"")</f>
        <v>DA+1.5</v>
      </c>
      <c r="E81" s="1029" t="s">
        <v>405</v>
      </c>
      <c r="F81" s="618">
        <v>45588</v>
      </c>
      <c r="G81" s="613">
        <f t="shared" si="1"/>
        <v>45588</v>
      </c>
      <c r="H81" s="614" t="s">
        <v>952</v>
      </c>
      <c r="I81" s="614" t="s">
        <v>1094</v>
      </c>
      <c r="J81" s="611" t="s">
        <v>1085</v>
      </c>
      <c r="K81" s="614" t="s">
        <v>255</v>
      </c>
    </row>
    <row r="82" spans="1:11" s="616" customFormat="1" ht="15.5">
      <c r="A82" s="611">
        <v>78</v>
      </c>
      <c r="B82" s="611">
        <v>52</v>
      </c>
      <c r="C82" s="75" t="s">
        <v>587</v>
      </c>
      <c r="D82" s="617" t="str">
        <f>IFERROR(VLOOKUP(C82,Foundation!$C$5:$D$143,2,0),"")</f>
        <v>DA+1.5</v>
      </c>
      <c r="E82" s="1029" t="s">
        <v>405</v>
      </c>
      <c r="F82" s="618">
        <v>45588</v>
      </c>
      <c r="G82" s="613">
        <f t="shared" si="1"/>
        <v>45588</v>
      </c>
      <c r="H82" s="614" t="s">
        <v>952</v>
      </c>
      <c r="I82" s="614" t="s">
        <v>1094</v>
      </c>
      <c r="J82" s="611" t="s">
        <v>1085</v>
      </c>
      <c r="K82" s="614" t="s">
        <v>255</v>
      </c>
    </row>
    <row r="83" spans="1:11" s="616" customFormat="1" ht="15.5">
      <c r="A83" s="611">
        <v>79</v>
      </c>
      <c r="B83" s="611">
        <v>53</v>
      </c>
      <c r="C83" s="75" t="s">
        <v>588</v>
      </c>
      <c r="D83" s="617" t="str">
        <f>IFERROR(VLOOKUP(C83,Foundation!$C$5:$D$143,2,0),"")</f>
        <v>DA+3</v>
      </c>
      <c r="E83" s="1029" t="s">
        <v>405</v>
      </c>
      <c r="F83" s="618">
        <v>45588</v>
      </c>
      <c r="G83" s="613">
        <f t="shared" si="1"/>
        <v>45588</v>
      </c>
      <c r="H83" s="614" t="s">
        <v>952</v>
      </c>
      <c r="I83" s="614" t="s">
        <v>1094</v>
      </c>
      <c r="J83" s="611" t="s">
        <v>1085</v>
      </c>
      <c r="K83" s="614" t="s">
        <v>255</v>
      </c>
    </row>
    <row r="84" spans="1:11" s="616" customFormat="1" ht="15.5">
      <c r="A84" s="611">
        <v>80</v>
      </c>
      <c r="B84" s="611">
        <v>54</v>
      </c>
      <c r="C84" s="75" t="s">
        <v>590</v>
      </c>
      <c r="D84" s="617" t="str">
        <f>IFERROR(VLOOKUP(C84,Foundation!$C$5:$D$143,2,0),"")</f>
        <v>DA+6</v>
      </c>
      <c r="E84" s="1029" t="s">
        <v>405</v>
      </c>
      <c r="F84" s="618">
        <v>45588</v>
      </c>
      <c r="G84" s="613">
        <f t="shared" si="1"/>
        <v>45588</v>
      </c>
      <c r="H84" s="614" t="s">
        <v>952</v>
      </c>
      <c r="I84" s="614" t="s">
        <v>1094</v>
      </c>
      <c r="J84" s="611" t="s">
        <v>1085</v>
      </c>
      <c r="K84" s="614" t="s">
        <v>255</v>
      </c>
    </row>
    <row r="85" spans="1:11" s="616" customFormat="1" ht="15.5">
      <c r="A85" s="611">
        <v>81</v>
      </c>
      <c r="B85" s="611">
        <v>55</v>
      </c>
      <c r="C85" s="75" t="s">
        <v>594</v>
      </c>
      <c r="D85" s="617" t="str">
        <f>IFERROR(VLOOKUP(C85,Foundation!$C$5:$D$143,2,0),"")</f>
        <v>DA+9</v>
      </c>
      <c r="E85" s="1029" t="s">
        <v>405</v>
      </c>
      <c r="F85" s="618">
        <v>45589</v>
      </c>
      <c r="G85" s="613">
        <f t="shared" si="1"/>
        <v>45589</v>
      </c>
      <c r="H85" s="614" t="s">
        <v>952</v>
      </c>
      <c r="I85" s="614" t="s">
        <v>1094</v>
      </c>
      <c r="J85" s="611" t="s">
        <v>1085</v>
      </c>
      <c r="K85" s="614" t="s">
        <v>255</v>
      </c>
    </row>
    <row r="86" spans="1:11" s="616" customFormat="1" ht="15.5">
      <c r="A86" s="611">
        <v>82</v>
      </c>
      <c r="B86" s="611">
        <v>56</v>
      </c>
      <c r="C86" s="75" t="s">
        <v>595</v>
      </c>
      <c r="D86" s="617" t="str">
        <f>IFERROR(VLOOKUP(C86,Foundation!$C$5:$D$143,2,0),"")</f>
        <v>DA+6</v>
      </c>
      <c r="E86" s="1029" t="s">
        <v>405</v>
      </c>
      <c r="F86" s="618">
        <v>45589</v>
      </c>
      <c r="G86" s="613">
        <f t="shared" si="1"/>
        <v>45589</v>
      </c>
      <c r="H86" s="614" t="s">
        <v>952</v>
      </c>
      <c r="I86" s="614" t="s">
        <v>1094</v>
      </c>
      <c r="J86" s="611" t="s">
        <v>1085</v>
      </c>
      <c r="K86" s="614" t="s">
        <v>255</v>
      </c>
    </row>
    <row r="87" spans="1:11" s="616" customFormat="1" ht="15.5">
      <c r="A87" s="611">
        <v>83</v>
      </c>
      <c r="B87" s="611">
        <v>57</v>
      </c>
      <c r="C87" s="75" t="s">
        <v>596</v>
      </c>
      <c r="D87" s="617" t="str">
        <f>IFERROR(VLOOKUP(C87,Foundation!$C$5:$D$143,2,0),"")</f>
        <v>DA+3</v>
      </c>
      <c r="E87" s="1029" t="s">
        <v>405</v>
      </c>
      <c r="F87" s="618">
        <v>45589</v>
      </c>
      <c r="G87" s="613">
        <f t="shared" si="1"/>
        <v>45589</v>
      </c>
      <c r="H87" s="614" t="s">
        <v>952</v>
      </c>
      <c r="I87" s="614" t="s">
        <v>1094</v>
      </c>
      <c r="J87" s="611" t="s">
        <v>1085</v>
      </c>
      <c r="K87" s="614" t="s">
        <v>255</v>
      </c>
    </row>
    <row r="88" spans="1:11" s="616" customFormat="1" ht="15.5">
      <c r="A88" s="611">
        <v>84</v>
      </c>
      <c r="B88" s="611">
        <v>58</v>
      </c>
      <c r="C88" s="75" t="s">
        <v>876</v>
      </c>
      <c r="D88" s="617" t="str">
        <f>IFERROR(VLOOKUP(C88,Foundation!$C$5:$D$143,2,0),"")</f>
        <v>DA+9</v>
      </c>
      <c r="E88" s="1029" t="s">
        <v>405</v>
      </c>
      <c r="F88" s="618">
        <v>45589</v>
      </c>
      <c r="G88" s="613">
        <f t="shared" si="1"/>
        <v>45589</v>
      </c>
      <c r="H88" s="614" t="s">
        <v>952</v>
      </c>
      <c r="I88" s="614" t="s">
        <v>1094</v>
      </c>
      <c r="J88" s="611" t="s">
        <v>1085</v>
      </c>
      <c r="K88" s="614" t="s">
        <v>255</v>
      </c>
    </row>
    <row r="89" spans="1:11" s="616" customFormat="1" ht="15.5">
      <c r="A89" s="611">
        <v>85</v>
      </c>
      <c r="B89" s="611">
        <v>59</v>
      </c>
      <c r="C89" s="75" t="s">
        <v>1072</v>
      </c>
      <c r="D89" s="617" t="str">
        <f>IFERROR(VLOOKUP(C89,Foundation!$C$5:$D$143,2,0),"")</f>
        <v>DA+3</v>
      </c>
      <c r="E89" s="1029" t="s">
        <v>405</v>
      </c>
      <c r="F89" s="618">
        <v>45590</v>
      </c>
      <c r="G89" s="613">
        <f t="shared" ref="G89:G100" si="2">F89</f>
        <v>45590</v>
      </c>
      <c r="H89" s="614" t="s">
        <v>952</v>
      </c>
      <c r="I89" s="614" t="s">
        <v>1094</v>
      </c>
      <c r="J89" s="611" t="s">
        <v>1085</v>
      </c>
      <c r="K89" s="614" t="s">
        <v>255</v>
      </c>
    </row>
    <row r="90" spans="1:11" s="616" customFormat="1" ht="15.5">
      <c r="A90" s="611">
        <v>86</v>
      </c>
      <c r="B90" s="611">
        <v>60</v>
      </c>
      <c r="C90" s="75" t="s">
        <v>1073</v>
      </c>
      <c r="D90" s="617" t="str">
        <f>IFERROR(VLOOKUP(C90,Foundation!$C$5:$D$143,2,0),"")</f>
        <v>DA+9</v>
      </c>
      <c r="E90" s="1029" t="s">
        <v>405</v>
      </c>
      <c r="F90" s="618">
        <v>45590</v>
      </c>
      <c r="G90" s="613">
        <f t="shared" si="2"/>
        <v>45590</v>
      </c>
      <c r="H90" s="614" t="s">
        <v>952</v>
      </c>
      <c r="I90" s="614" t="s">
        <v>1094</v>
      </c>
      <c r="J90" s="611" t="s">
        <v>1085</v>
      </c>
      <c r="K90" s="614" t="s">
        <v>255</v>
      </c>
    </row>
    <row r="91" spans="1:11" s="616" customFormat="1" ht="15.5">
      <c r="A91" s="611">
        <v>87</v>
      </c>
      <c r="B91" s="611">
        <v>61</v>
      </c>
      <c r="C91" s="75" t="s">
        <v>603</v>
      </c>
      <c r="D91" s="617" t="str">
        <f>IFERROR(VLOOKUP(C91,Foundation!$C$5:$D$143,2,0),"")</f>
        <v>DA+3</v>
      </c>
      <c r="E91" s="1029" t="s">
        <v>405</v>
      </c>
      <c r="F91" s="618">
        <v>45590</v>
      </c>
      <c r="G91" s="613">
        <f t="shared" si="2"/>
        <v>45590</v>
      </c>
      <c r="H91" s="614" t="s">
        <v>952</v>
      </c>
      <c r="I91" s="614" t="s">
        <v>1094</v>
      </c>
      <c r="J91" s="611" t="s">
        <v>1085</v>
      </c>
      <c r="K91" s="614" t="s">
        <v>255</v>
      </c>
    </row>
    <row r="92" spans="1:11" s="616" customFormat="1" ht="15.5">
      <c r="A92" s="611">
        <v>88</v>
      </c>
      <c r="B92" s="611">
        <v>62</v>
      </c>
      <c r="C92" s="75" t="s">
        <v>604</v>
      </c>
      <c r="D92" s="617" t="str">
        <f>IFERROR(VLOOKUP(C92,Foundation!$C$5:$D$143,2,0),"")</f>
        <v>DA+3</v>
      </c>
      <c r="E92" s="1029" t="s">
        <v>405</v>
      </c>
      <c r="F92" s="618">
        <v>45590</v>
      </c>
      <c r="G92" s="613">
        <f t="shared" si="2"/>
        <v>45590</v>
      </c>
      <c r="H92" s="614" t="s">
        <v>952</v>
      </c>
      <c r="I92" s="614" t="s">
        <v>1094</v>
      </c>
      <c r="J92" s="611" t="s">
        <v>1085</v>
      </c>
      <c r="K92" s="614" t="s">
        <v>255</v>
      </c>
    </row>
    <row r="93" spans="1:11" s="616" customFormat="1" ht="15.5">
      <c r="A93" s="611">
        <v>89</v>
      </c>
      <c r="B93" s="611">
        <v>63</v>
      </c>
      <c r="C93" s="75" t="s">
        <v>605</v>
      </c>
      <c r="D93" s="617" t="str">
        <f>IFERROR(VLOOKUP(C93,Foundation!$C$5:$D$143,2,0),"")</f>
        <v>DA-1.5</v>
      </c>
      <c r="E93" s="1029" t="s">
        <v>405</v>
      </c>
      <c r="F93" s="618">
        <v>45590</v>
      </c>
      <c r="G93" s="613">
        <f t="shared" si="2"/>
        <v>45590</v>
      </c>
      <c r="H93" s="614" t="s">
        <v>952</v>
      </c>
      <c r="I93" s="614" t="s">
        <v>1094</v>
      </c>
      <c r="J93" s="611" t="s">
        <v>1085</v>
      </c>
      <c r="K93" s="614" t="s">
        <v>255</v>
      </c>
    </row>
    <row r="94" spans="1:11" s="616" customFormat="1" ht="15.5">
      <c r="A94" s="611">
        <v>90</v>
      </c>
      <c r="B94" s="611">
        <v>64</v>
      </c>
      <c r="C94" s="75" t="s">
        <v>901</v>
      </c>
      <c r="D94" s="617" t="str">
        <f>IFERROR(VLOOKUP(C94,Foundation!$C$5:$D$143,2,0),"")</f>
        <v>DA+6</v>
      </c>
      <c r="E94" s="1029" t="s">
        <v>405</v>
      </c>
      <c r="F94" s="618">
        <v>45591</v>
      </c>
      <c r="G94" s="613">
        <f t="shared" si="2"/>
        <v>45591</v>
      </c>
      <c r="H94" s="614" t="s">
        <v>952</v>
      </c>
      <c r="I94" s="614" t="s">
        <v>1094</v>
      </c>
      <c r="J94" s="611" t="s">
        <v>1085</v>
      </c>
      <c r="K94" s="614" t="s">
        <v>255</v>
      </c>
    </row>
    <row r="95" spans="1:11" s="616" customFormat="1" ht="15.5">
      <c r="A95" s="611">
        <v>91</v>
      </c>
      <c r="B95" s="611">
        <v>65</v>
      </c>
      <c r="C95" s="75" t="s">
        <v>904</v>
      </c>
      <c r="D95" s="617" t="str">
        <f>IFERROR(VLOOKUP(C95,Foundation!$C$5:$D$143,2,0),"")</f>
        <v>DA+3</v>
      </c>
      <c r="E95" s="1029" t="s">
        <v>405</v>
      </c>
      <c r="F95" s="618">
        <v>45591</v>
      </c>
      <c r="G95" s="613">
        <f t="shared" si="2"/>
        <v>45591</v>
      </c>
      <c r="H95" s="614" t="s">
        <v>952</v>
      </c>
      <c r="I95" s="614" t="s">
        <v>1094</v>
      </c>
      <c r="J95" s="611" t="s">
        <v>1085</v>
      </c>
      <c r="K95" s="614" t="s">
        <v>255</v>
      </c>
    </row>
    <row r="96" spans="1:11" s="616" customFormat="1" ht="15.5">
      <c r="A96" s="611">
        <v>92</v>
      </c>
      <c r="B96" s="611">
        <v>66</v>
      </c>
      <c r="C96" s="75" t="s">
        <v>452</v>
      </c>
      <c r="D96" s="617" t="str">
        <f>IFERROR(VLOOKUP(C96,Foundation!$C$5:$D$143,2,0),"")</f>
        <v>DA+4.5</v>
      </c>
      <c r="E96" s="1029" t="s">
        <v>405</v>
      </c>
      <c r="F96" s="618">
        <v>45591</v>
      </c>
      <c r="G96" s="613">
        <f t="shared" si="2"/>
        <v>45591</v>
      </c>
      <c r="H96" s="614" t="s">
        <v>952</v>
      </c>
      <c r="I96" s="614" t="s">
        <v>1094</v>
      </c>
      <c r="J96" s="611" t="s">
        <v>1085</v>
      </c>
      <c r="K96" s="614" t="s">
        <v>255</v>
      </c>
    </row>
    <row r="97" spans="1:11" s="616" customFormat="1" ht="15.5">
      <c r="A97" s="611">
        <v>93</v>
      </c>
      <c r="B97" s="611">
        <v>67</v>
      </c>
      <c r="C97" s="75" t="s">
        <v>580</v>
      </c>
      <c r="D97" s="617" t="str">
        <f>IFERROR(VLOOKUP(C97,Foundation!$C$5:$D$143,2,0),"")</f>
        <v>DA+6</v>
      </c>
      <c r="E97" s="1029" t="s">
        <v>405</v>
      </c>
      <c r="F97" s="618">
        <v>45591</v>
      </c>
      <c r="G97" s="613">
        <f t="shared" si="2"/>
        <v>45591</v>
      </c>
      <c r="H97" s="614" t="s">
        <v>952</v>
      </c>
      <c r="I97" s="614" t="s">
        <v>1094</v>
      </c>
      <c r="J97" s="611" t="s">
        <v>1085</v>
      </c>
      <c r="K97" s="614" t="s">
        <v>255</v>
      </c>
    </row>
    <row r="98" spans="1:11" s="616" customFormat="1" ht="15.5">
      <c r="A98" s="611">
        <v>94</v>
      </c>
      <c r="B98" s="611">
        <v>68</v>
      </c>
      <c r="C98" s="75" t="s">
        <v>258</v>
      </c>
      <c r="D98" s="617" t="str">
        <f>IFERROR(VLOOKUP(C98,Foundation!$C$5:$D$143,2,0),"")</f>
        <v>DB1+9</v>
      </c>
      <c r="E98" s="1029" t="s">
        <v>405</v>
      </c>
      <c r="F98" s="618" t="s">
        <v>1103</v>
      </c>
      <c r="G98" s="613" t="str">
        <f t="shared" si="2"/>
        <v>27/10/202</v>
      </c>
      <c r="H98" s="614" t="s">
        <v>952</v>
      </c>
      <c r="I98" s="614" t="s">
        <v>889</v>
      </c>
      <c r="J98" s="611" t="s">
        <v>1085</v>
      </c>
      <c r="K98" s="614" t="s">
        <v>255</v>
      </c>
    </row>
    <row r="99" spans="1:11" s="616" customFormat="1" ht="15.5">
      <c r="A99" s="611">
        <v>95</v>
      </c>
      <c r="B99" s="611">
        <v>69</v>
      </c>
      <c r="C99" s="75" t="s">
        <v>467</v>
      </c>
      <c r="D99" s="617" t="str">
        <f>IFERROR(VLOOKUP(C99,Foundation!$C$5:$D$143,2,0),"")</f>
        <v>DA+6</v>
      </c>
      <c r="E99" s="1029" t="s">
        <v>405</v>
      </c>
      <c r="F99" s="618">
        <v>45592</v>
      </c>
      <c r="G99" s="613">
        <f t="shared" si="2"/>
        <v>45592</v>
      </c>
      <c r="H99" s="614" t="s">
        <v>952</v>
      </c>
      <c r="I99" s="614" t="s">
        <v>889</v>
      </c>
      <c r="J99" s="611" t="s">
        <v>1085</v>
      </c>
      <c r="K99" s="614" t="s">
        <v>255</v>
      </c>
    </row>
    <row r="100" spans="1:11" s="311" customFormat="1" ht="15.5">
      <c r="A100" s="611">
        <v>96</v>
      </c>
      <c r="B100" s="65">
        <v>70</v>
      </c>
      <c r="C100" s="75" t="s">
        <v>892</v>
      </c>
      <c r="D100" s="617" t="str">
        <f>IFERROR(VLOOKUP(C100,Foundation!$C$5:$D$143,2,0),"")</f>
        <v>DB1+3</v>
      </c>
      <c r="E100" s="1029" t="s">
        <v>405</v>
      </c>
      <c r="F100" s="726">
        <v>45592</v>
      </c>
      <c r="G100" s="728">
        <f t="shared" si="2"/>
        <v>45592</v>
      </c>
      <c r="H100" s="64" t="s">
        <v>952</v>
      </c>
      <c r="I100" s="64" t="s">
        <v>889</v>
      </c>
      <c r="J100" s="65" t="s">
        <v>1085</v>
      </c>
      <c r="K100" s="614" t="s">
        <v>255</v>
      </c>
    </row>
    <row r="101" spans="1:11" s="311" customFormat="1" ht="15.5">
      <c r="A101" s="611">
        <v>97</v>
      </c>
      <c r="B101" s="65">
        <v>1</v>
      </c>
      <c r="C101" s="75" t="s">
        <v>13</v>
      </c>
      <c r="D101" s="617" t="str">
        <f>IFERROR(VLOOKUP(C101,Foundation!$C$5:$D$427,2,0),"")</f>
        <v>DC1+3</v>
      </c>
      <c r="E101" s="1029" t="s">
        <v>405</v>
      </c>
      <c r="F101" s="726">
        <v>45649</v>
      </c>
      <c r="G101" s="726">
        <v>45649</v>
      </c>
      <c r="H101" s="64" t="s">
        <v>1179</v>
      </c>
      <c r="I101" s="64" t="s">
        <v>889</v>
      </c>
      <c r="J101" s="65" t="s">
        <v>1180</v>
      </c>
      <c r="K101" s="614" t="s">
        <v>255</v>
      </c>
    </row>
    <row r="102" spans="1:11" s="311" customFormat="1" ht="15.5">
      <c r="A102" s="611">
        <v>98</v>
      </c>
      <c r="B102" s="65">
        <v>2</v>
      </c>
      <c r="C102" s="75" t="s">
        <v>192</v>
      </c>
      <c r="D102" s="617" t="str">
        <f>IFERROR(VLOOKUP(C102,Foundation!$C$5:$D$427,2,0),"")</f>
        <v>DA+3</v>
      </c>
      <c r="E102" s="1029" t="s">
        <v>405</v>
      </c>
      <c r="F102" s="726">
        <v>45650</v>
      </c>
      <c r="G102" s="726">
        <v>45650</v>
      </c>
      <c r="H102" s="64" t="s">
        <v>1179</v>
      </c>
      <c r="I102" s="64" t="s">
        <v>889</v>
      </c>
      <c r="J102" s="65" t="s">
        <v>1180</v>
      </c>
      <c r="K102" s="614" t="s">
        <v>255</v>
      </c>
    </row>
    <row r="103" spans="1:11" s="311" customFormat="1" ht="15.5">
      <c r="A103" s="611">
        <v>99</v>
      </c>
      <c r="B103" s="65">
        <v>3</v>
      </c>
      <c r="C103" s="75" t="s">
        <v>193</v>
      </c>
      <c r="D103" s="617" t="str">
        <f>IFERROR(VLOOKUP(C103,Foundation!$C$5:$D$427,2,0),"")</f>
        <v>DA+1.5</v>
      </c>
      <c r="E103" s="1029" t="s">
        <v>405</v>
      </c>
      <c r="F103" s="726">
        <v>45650</v>
      </c>
      <c r="G103" s="726">
        <v>45650</v>
      </c>
      <c r="H103" s="64" t="s">
        <v>1179</v>
      </c>
      <c r="I103" s="64" t="s">
        <v>889</v>
      </c>
      <c r="J103" s="65" t="s">
        <v>1180</v>
      </c>
      <c r="K103" s="614" t="s">
        <v>255</v>
      </c>
    </row>
    <row r="104" spans="1:11" s="311" customFormat="1" ht="15.5">
      <c r="A104" s="611">
        <v>100</v>
      </c>
      <c r="B104" s="65">
        <v>4</v>
      </c>
      <c r="C104" s="75" t="s">
        <v>254</v>
      </c>
      <c r="D104" s="617" t="str">
        <f>IFERROR(VLOOKUP(C104,Foundation!$C$5:$D$427,2,0),"")</f>
        <v>DA+6</v>
      </c>
      <c r="E104" s="1029" t="s">
        <v>405</v>
      </c>
      <c r="F104" s="726">
        <v>45650</v>
      </c>
      <c r="G104" s="726">
        <v>45650</v>
      </c>
      <c r="H104" s="64" t="s">
        <v>1179</v>
      </c>
      <c r="I104" s="64" t="s">
        <v>889</v>
      </c>
      <c r="J104" s="65" t="s">
        <v>1180</v>
      </c>
      <c r="K104" s="614" t="s">
        <v>255</v>
      </c>
    </row>
    <row r="105" spans="1:11" s="311" customFormat="1" ht="15.5">
      <c r="A105" s="611">
        <v>101</v>
      </c>
      <c r="B105" s="65">
        <v>5</v>
      </c>
      <c r="C105" s="729" t="s">
        <v>253</v>
      </c>
      <c r="D105" s="617" t="str">
        <f>IFERROR(VLOOKUP(C105,Foundation!$C$5:$D$427,2,0),"")</f>
        <v>DA-3</v>
      </c>
      <c r="E105" s="1029" t="s">
        <v>405</v>
      </c>
      <c r="F105" s="726">
        <v>45651</v>
      </c>
      <c r="G105" s="726">
        <v>45651</v>
      </c>
      <c r="H105" s="64" t="s">
        <v>1179</v>
      </c>
      <c r="I105" s="64" t="s">
        <v>889</v>
      </c>
      <c r="J105" s="65" t="s">
        <v>1180</v>
      </c>
      <c r="K105" s="614" t="s">
        <v>255</v>
      </c>
    </row>
    <row r="106" spans="1:11" s="311" customFormat="1" ht="15.5">
      <c r="A106" s="611">
        <v>102</v>
      </c>
      <c r="B106" s="65">
        <v>6</v>
      </c>
      <c r="C106" s="75" t="s">
        <v>252</v>
      </c>
      <c r="D106" s="617" t="str">
        <f>IFERROR(VLOOKUP(C106,Foundation!$C$5:$D$427,2,0),"")</f>
        <v>DA+0</v>
      </c>
      <c r="E106" s="1029" t="s">
        <v>405</v>
      </c>
      <c r="F106" s="726">
        <v>45651</v>
      </c>
      <c r="G106" s="726">
        <v>45651</v>
      </c>
      <c r="H106" s="64" t="s">
        <v>1179</v>
      </c>
      <c r="I106" s="64" t="s">
        <v>889</v>
      </c>
      <c r="J106" s="65" t="s">
        <v>1180</v>
      </c>
      <c r="K106" s="614" t="s">
        <v>255</v>
      </c>
    </row>
    <row r="107" spans="1:11" s="311" customFormat="1" ht="15.5">
      <c r="A107" s="611">
        <v>103</v>
      </c>
      <c r="B107" s="65">
        <v>7</v>
      </c>
      <c r="C107" s="75" t="s">
        <v>51</v>
      </c>
      <c r="D107" s="617" t="str">
        <f>IFERROR(VLOOKUP(C107,Foundation!$C$5:$D$427,2,0),"")</f>
        <v>DB2+6</v>
      </c>
      <c r="E107" s="1029" t="s">
        <v>405</v>
      </c>
      <c r="F107" s="726">
        <v>45651</v>
      </c>
      <c r="G107" s="726">
        <v>45651</v>
      </c>
      <c r="H107" s="64" t="s">
        <v>1179</v>
      </c>
      <c r="I107" s="64" t="s">
        <v>889</v>
      </c>
      <c r="J107" s="65" t="s">
        <v>1180</v>
      </c>
      <c r="K107" s="614" t="s">
        <v>255</v>
      </c>
    </row>
    <row r="108" spans="1:11" s="311" customFormat="1" ht="15.5">
      <c r="A108" s="611">
        <v>104</v>
      </c>
      <c r="B108" s="65">
        <v>8</v>
      </c>
      <c r="C108" s="75" t="s">
        <v>609</v>
      </c>
      <c r="D108" s="617" t="str">
        <f>IFERROR(VLOOKUP(C108,Foundation!$C$5:$D$427,2,0),"")</f>
        <v>DA+0</v>
      </c>
      <c r="E108" s="1029" t="s">
        <v>405</v>
      </c>
      <c r="F108" s="726">
        <v>45652</v>
      </c>
      <c r="G108" s="726">
        <v>45652</v>
      </c>
      <c r="H108" s="64" t="s">
        <v>1179</v>
      </c>
      <c r="I108" s="64" t="s">
        <v>1184</v>
      </c>
      <c r="J108" s="65" t="s">
        <v>1180</v>
      </c>
      <c r="K108" s="614" t="s">
        <v>255</v>
      </c>
    </row>
    <row r="109" spans="1:11" s="311" customFormat="1" ht="15.5">
      <c r="A109" s="611">
        <v>105</v>
      </c>
      <c r="B109" s="65">
        <v>9</v>
      </c>
      <c r="C109" s="75" t="s">
        <v>610</v>
      </c>
      <c r="D109" s="617" t="str">
        <f>IFERROR(VLOOKUP(C109,Foundation!$C$5:$D$427,2,0),"")</f>
        <v>DA+0</v>
      </c>
      <c r="E109" s="1029" t="s">
        <v>405</v>
      </c>
      <c r="F109" s="726">
        <v>45652</v>
      </c>
      <c r="G109" s="726">
        <v>45652</v>
      </c>
      <c r="H109" s="64" t="s">
        <v>1179</v>
      </c>
      <c r="I109" s="64" t="s">
        <v>1184</v>
      </c>
      <c r="J109" s="65" t="s">
        <v>1180</v>
      </c>
      <c r="K109" s="614" t="s">
        <v>255</v>
      </c>
    </row>
    <row r="110" spans="1:11" s="311" customFormat="1" ht="15.5">
      <c r="A110" s="611">
        <v>106</v>
      </c>
      <c r="B110" s="65">
        <v>10</v>
      </c>
      <c r="C110" s="75" t="s">
        <v>613</v>
      </c>
      <c r="D110" s="617" t="str">
        <f>IFERROR(VLOOKUP(C110,Foundation!$C$5:$D$427,2,0),"")</f>
        <v>DA+3</v>
      </c>
      <c r="E110" s="1029" t="s">
        <v>405</v>
      </c>
      <c r="F110" s="726">
        <v>45652</v>
      </c>
      <c r="G110" s="726">
        <v>45652</v>
      </c>
      <c r="H110" s="64" t="s">
        <v>1179</v>
      </c>
      <c r="I110" s="64" t="s">
        <v>1184</v>
      </c>
      <c r="J110" s="65" t="s">
        <v>1180</v>
      </c>
      <c r="K110" s="614" t="s">
        <v>255</v>
      </c>
    </row>
    <row r="111" spans="1:11" s="311" customFormat="1" ht="15.5">
      <c r="A111" s="611">
        <v>107</v>
      </c>
      <c r="B111" s="65">
        <v>11</v>
      </c>
      <c r="C111" s="75" t="s">
        <v>614</v>
      </c>
      <c r="D111" s="617" t="str">
        <f>IFERROR(VLOOKUP(C111,Foundation!$C$5:$D$427,2,0),"")</f>
        <v>DA+6</v>
      </c>
      <c r="E111" s="1029" t="s">
        <v>405</v>
      </c>
      <c r="F111" s="726">
        <v>45652</v>
      </c>
      <c r="G111" s="726">
        <v>45652</v>
      </c>
      <c r="H111" s="64" t="s">
        <v>1179</v>
      </c>
      <c r="I111" s="64" t="s">
        <v>1184</v>
      </c>
      <c r="J111" s="65" t="s">
        <v>1180</v>
      </c>
      <c r="K111" s="614" t="s">
        <v>255</v>
      </c>
    </row>
    <row r="112" spans="1:11" s="311" customFormat="1" ht="15.5">
      <c r="A112" s="611">
        <v>108</v>
      </c>
      <c r="B112" s="65">
        <v>12</v>
      </c>
      <c r="C112" s="75" t="s">
        <v>615</v>
      </c>
      <c r="D112" s="617" t="str">
        <f>IFERROR(VLOOKUP(C112,Foundation!$C$5:$D$427,2,0),"")</f>
        <v>DA+9</v>
      </c>
      <c r="E112" s="1029" t="s">
        <v>405</v>
      </c>
      <c r="F112" s="726">
        <v>45653</v>
      </c>
      <c r="G112" s="726">
        <v>45653</v>
      </c>
      <c r="H112" s="64" t="s">
        <v>1179</v>
      </c>
      <c r="I112" s="64" t="s">
        <v>1184</v>
      </c>
      <c r="J112" s="65" t="s">
        <v>1180</v>
      </c>
      <c r="K112" s="614" t="s">
        <v>255</v>
      </c>
    </row>
    <row r="113" spans="1:11" s="311" customFormat="1" ht="15.5">
      <c r="A113" s="611">
        <v>109</v>
      </c>
      <c r="B113" s="65">
        <v>13</v>
      </c>
      <c r="C113" s="75" t="s">
        <v>616</v>
      </c>
      <c r="D113" s="617" t="str">
        <f>IFERROR(VLOOKUP(C113,Foundation!$C$5:$D$427,2,0),"")</f>
        <v>DA+1.5</v>
      </c>
      <c r="E113" s="1029" t="s">
        <v>405</v>
      </c>
      <c r="F113" s="726">
        <v>45653</v>
      </c>
      <c r="G113" s="726">
        <v>45653</v>
      </c>
      <c r="H113" s="64" t="s">
        <v>1179</v>
      </c>
      <c r="I113" s="64" t="s">
        <v>1184</v>
      </c>
      <c r="J113" s="65" t="s">
        <v>1180</v>
      </c>
      <c r="K113" s="614" t="s">
        <v>255</v>
      </c>
    </row>
    <row r="114" spans="1:11" s="311" customFormat="1" ht="15.5">
      <c r="A114" s="611">
        <v>110</v>
      </c>
      <c r="B114" s="65">
        <v>14</v>
      </c>
      <c r="C114" s="75" t="s">
        <v>617</v>
      </c>
      <c r="D114" s="617" t="str">
        <f>IFERROR(VLOOKUP(C114,Foundation!$C$5:$D$427,2,0),"")</f>
        <v>DA+0</v>
      </c>
      <c r="E114" s="1029" t="s">
        <v>405</v>
      </c>
      <c r="F114" s="726">
        <v>45653</v>
      </c>
      <c r="G114" s="726">
        <v>45653</v>
      </c>
      <c r="H114" s="64" t="s">
        <v>1179</v>
      </c>
      <c r="I114" s="64" t="s">
        <v>1184</v>
      </c>
      <c r="J114" s="65" t="s">
        <v>1180</v>
      </c>
      <c r="K114" s="614" t="s">
        <v>255</v>
      </c>
    </row>
    <row r="115" spans="1:11" s="311" customFormat="1" ht="15.5">
      <c r="A115" s="611">
        <v>111</v>
      </c>
      <c r="B115" s="65">
        <v>15</v>
      </c>
      <c r="C115" s="75" t="s">
        <v>618</v>
      </c>
      <c r="D115" s="617" t="str">
        <f>IFERROR(VLOOKUP(C115,Foundation!$C$5:$D$427,2,0),"")</f>
        <v>DA+3</v>
      </c>
      <c r="E115" s="1029" t="s">
        <v>405</v>
      </c>
      <c r="F115" s="726">
        <v>45653</v>
      </c>
      <c r="G115" s="726">
        <v>45653</v>
      </c>
      <c r="H115" s="64" t="s">
        <v>1179</v>
      </c>
      <c r="I115" s="64" t="s">
        <v>1184</v>
      </c>
      <c r="J115" s="65" t="s">
        <v>1180</v>
      </c>
      <c r="K115" s="614" t="s">
        <v>255</v>
      </c>
    </row>
    <row r="116" spans="1:11" s="311" customFormat="1" ht="15.5">
      <c r="A116" s="611">
        <v>112</v>
      </c>
      <c r="B116" s="65">
        <v>16</v>
      </c>
      <c r="C116" s="75" t="s">
        <v>73</v>
      </c>
      <c r="D116" s="617" t="str">
        <f>IFERROR(VLOOKUP(C116,Foundation!$C$5:$D$427,2,0),"")</f>
        <v>DB2+0</v>
      </c>
      <c r="E116" s="1029" t="s">
        <v>405</v>
      </c>
      <c r="F116" s="726">
        <v>45654</v>
      </c>
      <c r="G116" s="726">
        <v>45654</v>
      </c>
      <c r="H116" s="64" t="s">
        <v>1179</v>
      </c>
      <c r="I116" s="64" t="s">
        <v>1184</v>
      </c>
      <c r="J116" s="65" t="s">
        <v>1180</v>
      </c>
      <c r="K116" s="614" t="s">
        <v>255</v>
      </c>
    </row>
    <row r="117" spans="1:11" s="311" customFormat="1" ht="15.5">
      <c r="A117" s="611">
        <v>113</v>
      </c>
      <c r="B117" s="65">
        <v>17</v>
      </c>
      <c r="C117" s="75" t="s">
        <v>620</v>
      </c>
      <c r="D117" s="617" t="str">
        <f>IFERROR(VLOOKUP(C117,Foundation!$C$5:$D$427,2,0),"")</f>
        <v>DA-1.5</v>
      </c>
      <c r="E117" s="1029" t="s">
        <v>405</v>
      </c>
      <c r="F117" s="726">
        <v>45654</v>
      </c>
      <c r="G117" s="726">
        <v>45654</v>
      </c>
      <c r="H117" s="64" t="s">
        <v>1179</v>
      </c>
      <c r="I117" s="64" t="s">
        <v>1184</v>
      </c>
      <c r="J117" s="65" t="s">
        <v>1180</v>
      </c>
      <c r="K117" s="614" t="s">
        <v>255</v>
      </c>
    </row>
    <row r="118" spans="1:11" s="311" customFormat="1" ht="15.5">
      <c r="A118" s="611">
        <v>114</v>
      </c>
      <c r="B118" s="65">
        <v>18</v>
      </c>
      <c r="C118" s="75" t="s">
        <v>621</v>
      </c>
      <c r="D118" s="617" t="str">
        <f>IFERROR(VLOOKUP(C118,Foundation!$C$5:$D$427,2,0),"")</f>
        <v>DA+3</v>
      </c>
      <c r="E118" s="1029" t="s">
        <v>405</v>
      </c>
      <c r="F118" s="726">
        <v>45654</v>
      </c>
      <c r="G118" s="726">
        <v>45654</v>
      </c>
      <c r="H118" s="64" t="s">
        <v>1179</v>
      </c>
      <c r="I118" s="64" t="s">
        <v>1184</v>
      </c>
      <c r="J118" s="65" t="s">
        <v>1180</v>
      </c>
      <c r="K118" s="614" t="s">
        <v>255</v>
      </c>
    </row>
    <row r="119" spans="1:11" s="311" customFormat="1" ht="15.5">
      <c r="A119" s="611">
        <v>115</v>
      </c>
      <c r="B119" s="65">
        <v>19</v>
      </c>
      <c r="C119" s="75" t="s">
        <v>261</v>
      </c>
      <c r="D119" s="617" t="str">
        <f>IFERROR(VLOOKUP(C119,Foundation!$C$5:$D$427,2,0),"")</f>
        <v>DB2+0</v>
      </c>
      <c r="E119" s="1029" t="s">
        <v>405</v>
      </c>
      <c r="F119" s="726">
        <v>45655</v>
      </c>
      <c r="G119" s="726">
        <v>45655</v>
      </c>
      <c r="H119" s="64" t="s">
        <v>952</v>
      </c>
      <c r="I119" s="64" t="s">
        <v>889</v>
      </c>
      <c r="J119" s="65" t="s">
        <v>1180</v>
      </c>
      <c r="K119" s="614" t="s">
        <v>255</v>
      </c>
    </row>
    <row r="120" spans="1:11" s="311" customFormat="1" ht="15.5">
      <c r="A120" s="611">
        <v>116</v>
      </c>
      <c r="B120" s="65">
        <v>20</v>
      </c>
      <c r="C120" s="75" t="s">
        <v>479</v>
      </c>
      <c r="D120" s="617" t="str">
        <f>IFERROR(VLOOKUP(C120,Foundation!$C$5:$D$427,2,0),"")</f>
        <v>DA+6</v>
      </c>
      <c r="E120" s="1029" t="s">
        <v>405</v>
      </c>
      <c r="F120" s="726">
        <v>45655</v>
      </c>
      <c r="G120" s="726">
        <v>45655</v>
      </c>
      <c r="H120" s="64" t="s">
        <v>952</v>
      </c>
      <c r="I120" s="64" t="s">
        <v>889</v>
      </c>
      <c r="J120" s="65" t="s">
        <v>1180</v>
      </c>
      <c r="K120" s="614" t="s">
        <v>255</v>
      </c>
    </row>
    <row r="121" spans="1:11" s="311" customFormat="1" ht="15.5">
      <c r="A121" s="611">
        <v>117</v>
      </c>
      <c r="B121" s="65">
        <v>21</v>
      </c>
      <c r="C121" s="75" t="s">
        <v>481</v>
      </c>
      <c r="D121" s="617" t="str">
        <f>IFERROR(VLOOKUP(C121,Foundation!$C$5:$D$427,2,0),"")</f>
        <v>DA+6</v>
      </c>
      <c r="E121" s="1029" t="s">
        <v>405</v>
      </c>
      <c r="F121" s="726">
        <v>45655</v>
      </c>
      <c r="G121" s="726">
        <v>45655</v>
      </c>
      <c r="H121" s="64" t="s">
        <v>952</v>
      </c>
      <c r="I121" s="64" t="s">
        <v>889</v>
      </c>
      <c r="J121" s="65" t="s">
        <v>1180</v>
      </c>
      <c r="K121" s="614" t="s">
        <v>255</v>
      </c>
    </row>
    <row r="122" spans="1:11" s="311" customFormat="1" ht="15.5">
      <c r="A122" s="611">
        <v>118</v>
      </c>
      <c r="B122" s="65">
        <v>22</v>
      </c>
      <c r="C122" s="75" t="s">
        <v>482</v>
      </c>
      <c r="D122" s="617" t="str">
        <f>IFERROR(VLOOKUP(C122,Foundation!$C$5:$D$427,2,0),"")</f>
        <v>DA+6</v>
      </c>
      <c r="E122" s="1029" t="s">
        <v>405</v>
      </c>
      <c r="F122" s="726">
        <v>45655</v>
      </c>
      <c r="G122" s="726">
        <v>45655</v>
      </c>
      <c r="H122" s="64" t="s">
        <v>952</v>
      </c>
      <c r="I122" s="64" t="s">
        <v>889</v>
      </c>
      <c r="J122" s="65" t="s">
        <v>1180</v>
      </c>
      <c r="K122" s="614" t="s">
        <v>255</v>
      </c>
    </row>
    <row r="123" spans="1:11" s="311" customFormat="1" ht="15.5">
      <c r="A123" s="611">
        <v>119</v>
      </c>
      <c r="B123" s="65">
        <v>23</v>
      </c>
      <c r="C123" s="75" t="s">
        <v>392</v>
      </c>
      <c r="D123" s="617" t="str">
        <f>IFERROR(VLOOKUP(C123,Foundation!$C$5:$D$427,2,0),"")</f>
        <v>DA-3</v>
      </c>
      <c r="E123" s="1029" t="s">
        <v>405</v>
      </c>
      <c r="F123" s="726">
        <v>45655</v>
      </c>
      <c r="G123" s="726">
        <v>45655</v>
      </c>
      <c r="H123" s="64" t="s">
        <v>952</v>
      </c>
      <c r="I123" s="64" t="s">
        <v>889</v>
      </c>
      <c r="J123" s="65" t="s">
        <v>1180</v>
      </c>
      <c r="K123" s="614" t="s">
        <v>255</v>
      </c>
    </row>
    <row r="124" spans="1:11" s="311" customFormat="1" ht="15.5">
      <c r="A124" s="611">
        <v>120</v>
      </c>
      <c r="B124" s="65">
        <v>24</v>
      </c>
      <c r="C124" s="75" t="s">
        <v>393</v>
      </c>
      <c r="D124" s="617" t="str">
        <f>IFERROR(VLOOKUP(C124,Foundation!$C$5:$D$427,2,0),"")</f>
        <v>DA+6</v>
      </c>
      <c r="E124" s="1029" t="s">
        <v>405</v>
      </c>
      <c r="F124" s="726">
        <v>45655</v>
      </c>
      <c r="G124" s="726">
        <v>45655</v>
      </c>
      <c r="H124" s="64" t="s">
        <v>952</v>
      </c>
      <c r="I124" s="64" t="s">
        <v>889</v>
      </c>
      <c r="J124" s="65" t="s">
        <v>1180</v>
      </c>
      <c r="K124" s="614" t="s">
        <v>255</v>
      </c>
    </row>
    <row r="125" spans="1:11" s="311" customFormat="1" ht="15.5">
      <c r="A125" s="611">
        <v>121</v>
      </c>
      <c r="B125" s="65">
        <v>25</v>
      </c>
      <c r="C125" s="75" t="s">
        <v>406</v>
      </c>
      <c r="D125" s="617" t="str">
        <f>IFERROR(VLOOKUP(C125,Foundation!$C$5:$D$427,2,0),"")</f>
        <v>DA+3</v>
      </c>
      <c r="E125" s="1029" t="s">
        <v>405</v>
      </c>
      <c r="F125" s="726">
        <v>45657</v>
      </c>
      <c r="G125" s="726">
        <v>45657</v>
      </c>
      <c r="H125" s="64" t="s">
        <v>952</v>
      </c>
      <c r="I125" s="64" t="s">
        <v>889</v>
      </c>
      <c r="J125" s="65" t="s">
        <v>1180</v>
      </c>
      <c r="K125" s="614" t="s">
        <v>255</v>
      </c>
    </row>
    <row r="126" spans="1:11" s="311" customFormat="1" ht="15.5">
      <c r="A126" s="611">
        <v>122</v>
      </c>
      <c r="B126" s="65">
        <v>26</v>
      </c>
      <c r="C126" s="75" t="s">
        <v>371</v>
      </c>
      <c r="D126" s="617" t="str">
        <f>IFERROR(VLOOKUP(C126,Foundation!$C$5:$D$427,2,0),"")</f>
        <v>DA+3</v>
      </c>
      <c r="E126" s="1029" t="s">
        <v>405</v>
      </c>
      <c r="F126" s="726">
        <v>45657</v>
      </c>
      <c r="G126" s="726">
        <v>45657</v>
      </c>
      <c r="H126" s="64" t="s">
        <v>952</v>
      </c>
      <c r="I126" s="64" t="s">
        <v>889</v>
      </c>
      <c r="J126" s="65" t="s">
        <v>1180</v>
      </c>
      <c r="K126" s="614" t="s">
        <v>255</v>
      </c>
    </row>
    <row r="127" spans="1:11" s="311" customFormat="1" ht="15.5">
      <c r="A127" s="611">
        <v>123</v>
      </c>
      <c r="B127" s="65">
        <v>27</v>
      </c>
      <c r="C127" s="75" t="s">
        <v>411</v>
      </c>
      <c r="D127" s="617" t="str">
        <f>IFERROR(VLOOKUP(C127,Foundation!$C$5:$D$427,2,0),"")</f>
        <v>DA+3</v>
      </c>
      <c r="E127" s="1029" t="s">
        <v>405</v>
      </c>
      <c r="F127" s="726">
        <v>45657</v>
      </c>
      <c r="G127" s="726">
        <v>45657</v>
      </c>
      <c r="H127" s="64" t="s">
        <v>952</v>
      </c>
      <c r="I127" s="64" t="s">
        <v>889</v>
      </c>
      <c r="J127" s="65" t="s">
        <v>1180</v>
      </c>
      <c r="K127" s="614" t="s">
        <v>255</v>
      </c>
    </row>
    <row r="128" spans="1:11" s="311" customFormat="1" ht="15.5">
      <c r="A128" s="611">
        <v>124</v>
      </c>
      <c r="B128" s="65">
        <v>28</v>
      </c>
      <c r="C128" s="75" t="s">
        <v>412</v>
      </c>
      <c r="D128" s="617" t="str">
        <f>IFERROR(VLOOKUP(C128,Foundation!$C$5:$D$427,2,0),"")</f>
        <v>DA+3</v>
      </c>
      <c r="E128" s="1029" t="s">
        <v>405</v>
      </c>
      <c r="F128" s="726">
        <v>45657</v>
      </c>
      <c r="G128" s="726">
        <v>45657</v>
      </c>
      <c r="H128" s="64" t="s">
        <v>952</v>
      </c>
      <c r="I128" s="64" t="s">
        <v>889</v>
      </c>
      <c r="J128" s="65" t="s">
        <v>1180</v>
      </c>
      <c r="K128" s="614" t="s">
        <v>255</v>
      </c>
    </row>
    <row r="129" spans="1:11" s="311" customFormat="1" ht="15.5">
      <c r="A129" s="611">
        <v>125</v>
      </c>
      <c r="B129" s="65">
        <v>1</v>
      </c>
      <c r="C129" s="75" t="s">
        <v>779</v>
      </c>
      <c r="D129" s="617" t="str">
        <f>IFERROR(VLOOKUP(C129,Foundation!$C$5:$D$427,2,0),"")</f>
        <v>DA+1.5</v>
      </c>
      <c r="E129" s="1029" t="s">
        <v>405</v>
      </c>
      <c r="F129" s="726">
        <v>45658</v>
      </c>
      <c r="G129" s="726">
        <v>45658</v>
      </c>
      <c r="H129" s="64" t="s">
        <v>1179</v>
      </c>
      <c r="I129" s="64" t="s">
        <v>1184</v>
      </c>
      <c r="J129" s="65" t="s">
        <v>1188</v>
      </c>
      <c r="K129" s="614" t="s">
        <v>255</v>
      </c>
    </row>
    <row r="130" spans="1:11" s="311" customFormat="1" ht="15.5">
      <c r="A130" s="611">
        <v>126</v>
      </c>
      <c r="B130" s="65">
        <v>2</v>
      </c>
      <c r="C130" s="75" t="s">
        <v>780</v>
      </c>
      <c r="D130" s="617" t="str">
        <f>IFERROR(VLOOKUP(C130,Foundation!$C$5:$D$427,2,0),"")</f>
        <v>DA+3</v>
      </c>
      <c r="E130" s="1029" t="s">
        <v>405</v>
      </c>
      <c r="F130" s="726">
        <v>45658</v>
      </c>
      <c r="G130" s="726">
        <v>45658</v>
      </c>
      <c r="H130" s="64" t="s">
        <v>1179</v>
      </c>
      <c r="I130" s="64" t="s">
        <v>1184</v>
      </c>
      <c r="J130" s="65" t="s">
        <v>1188</v>
      </c>
      <c r="K130" s="614" t="s">
        <v>255</v>
      </c>
    </row>
    <row r="131" spans="1:11" s="311" customFormat="1" ht="15.5">
      <c r="A131" s="611">
        <v>127</v>
      </c>
      <c r="B131" s="65">
        <v>3</v>
      </c>
      <c r="C131" s="75" t="s">
        <v>781</v>
      </c>
      <c r="D131" s="617" t="str">
        <f>IFERROR(VLOOKUP(C131,Foundation!$C$5:$D$427,2,0),"")</f>
        <v>DA+9</v>
      </c>
      <c r="E131" s="1029" t="s">
        <v>405</v>
      </c>
      <c r="F131" s="726">
        <v>45658</v>
      </c>
      <c r="G131" s="726">
        <v>45658</v>
      </c>
      <c r="H131" s="64" t="s">
        <v>1179</v>
      </c>
      <c r="I131" s="64" t="s">
        <v>1184</v>
      </c>
      <c r="J131" s="65" t="s">
        <v>1188</v>
      </c>
      <c r="K131" s="614" t="s">
        <v>255</v>
      </c>
    </row>
    <row r="132" spans="1:11" s="311" customFormat="1" ht="15.5">
      <c r="A132" s="611">
        <v>128</v>
      </c>
      <c r="B132" s="65">
        <v>4</v>
      </c>
      <c r="C132" s="75" t="s">
        <v>782</v>
      </c>
      <c r="D132" s="617" t="str">
        <f>IFERROR(VLOOKUP(C132,Foundation!$C$5:$D$427,2,0),"")</f>
        <v>DA+3</v>
      </c>
      <c r="E132" s="1029" t="s">
        <v>405</v>
      </c>
      <c r="F132" s="726">
        <v>45658</v>
      </c>
      <c r="G132" s="726">
        <v>45658</v>
      </c>
      <c r="H132" s="64" t="s">
        <v>1179</v>
      </c>
      <c r="I132" s="64" t="s">
        <v>1184</v>
      </c>
      <c r="J132" s="65" t="s">
        <v>1188</v>
      </c>
      <c r="K132" s="614" t="s">
        <v>255</v>
      </c>
    </row>
    <row r="133" spans="1:11" s="311" customFormat="1" ht="15.5">
      <c r="A133" s="611">
        <v>129</v>
      </c>
      <c r="B133" s="65">
        <v>5</v>
      </c>
      <c r="C133" s="75" t="s">
        <v>783</v>
      </c>
      <c r="D133" s="617" t="str">
        <f>IFERROR(VLOOKUP(C133,Foundation!$C$5:$D$427,2,0),"")</f>
        <v>DA+3</v>
      </c>
      <c r="E133" s="1029" t="s">
        <v>405</v>
      </c>
      <c r="F133" s="726">
        <v>45658</v>
      </c>
      <c r="G133" s="726">
        <v>45658</v>
      </c>
      <c r="H133" s="64" t="s">
        <v>1179</v>
      </c>
      <c r="I133" s="64" t="s">
        <v>1184</v>
      </c>
      <c r="J133" s="65" t="s">
        <v>1188</v>
      </c>
      <c r="K133" s="614" t="s">
        <v>255</v>
      </c>
    </row>
    <row r="134" spans="1:11" s="311" customFormat="1" ht="15.5">
      <c r="A134" s="611">
        <v>130</v>
      </c>
      <c r="B134" s="65">
        <v>6</v>
      </c>
      <c r="C134" s="75" t="s">
        <v>778</v>
      </c>
      <c r="D134" s="617" t="str">
        <f>IFERROR(VLOOKUP(C134,Foundation!$C$5:$D$427,2,0),"")</f>
        <v>DA+3</v>
      </c>
      <c r="E134" s="1029" t="s">
        <v>405</v>
      </c>
      <c r="F134" s="726">
        <v>45659</v>
      </c>
      <c r="G134" s="726">
        <v>45659</v>
      </c>
      <c r="H134" s="64" t="s">
        <v>1179</v>
      </c>
      <c r="I134" s="64" t="s">
        <v>1184</v>
      </c>
      <c r="J134" s="65" t="s">
        <v>1188</v>
      </c>
      <c r="K134" s="614" t="s">
        <v>255</v>
      </c>
    </row>
    <row r="135" spans="1:11" s="311" customFormat="1" ht="15.5">
      <c r="A135" s="611">
        <v>131</v>
      </c>
      <c r="B135" s="65">
        <v>7</v>
      </c>
      <c r="C135" s="75" t="s">
        <v>777</v>
      </c>
      <c r="D135" s="617" t="str">
        <f>IFERROR(VLOOKUP(C135,Foundation!$C$5:$D$427,2,0),"")</f>
        <v>DB1+0</v>
      </c>
      <c r="E135" s="1029" t="s">
        <v>405</v>
      </c>
      <c r="F135" s="726">
        <v>45659</v>
      </c>
      <c r="G135" s="726">
        <v>45659</v>
      </c>
      <c r="H135" s="64" t="s">
        <v>1179</v>
      </c>
      <c r="I135" s="64" t="s">
        <v>1184</v>
      </c>
      <c r="J135" s="65" t="s">
        <v>1188</v>
      </c>
      <c r="K135" s="614" t="s">
        <v>255</v>
      </c>
    </row>
    <row r="136" spans="1:11" s="311" customFormat="1" ht="15.5">
      <c r="A136" s="611">
        <v>132</v>
      </c>
      <c r="B136" s="65">
        <v>8</v>
      </c>
      <c r="C136" s="75" t="s">
        <v>607</v>
      </c>
      <c r="D136" s="617" t="str">
        <f>IFERROR(VLOOKUP(C136,Foundation!$C$5:$D$427,2,0),"")</f>
        <v>DA+3</v>
      </c>
      <c r="E136" s="1029" t="s">
        <v>405</v>
      </c>
      <c r="F136" s="726">
        <v>45659</v>
      </c>
      <c r="G136" s="726">
        <v>45659</v>
      </c>
      <c r="H136" s="64" t="s">
        <v>1179</v>
      </c>
      <c r="I136" s="64" t="s">
        <v>1184</v>
      </c>
      <c r="J136" s="65" t="s">
        <v>1188</v>
      </c>
      <c r="K136" s="614" t="s">
        <v>255</v>
      </c>
    </row>
    <row r="137" spans="1:11" s="311" customFormat="1" ht="15.5">
      <c r="A137" s="611">
        <v>133</v>
      </c>
      <c r="B137" s="65">
        <v>9</v>
      </c>
      <c r="C137" s="75" t="s">
        <v>606</v>
      </c>
      <c r="D137" s="617" t="str">
        <f>IFERROR(VLOOKUP(C137,Foundation!$C$5:$D$427,2,0),"")</f>
        <v>DA+9</v>
      </c>
      <c r="E137" s="1029" t="s">
        <v>405</v>
      </c>
      <c r="F137" s="726">
        <v>45659</v>
      </c>
      <c r="G137" s="726">
        <v>45659</v>
      </c>
      <c r="H137" s="64" t="s">
        <v>1179</v>
      </c>
      <c r="I137" s="64" t="s">
        <v>1184</v>
      </c>
      <c r="J137" s="65" t="s">
        <v>1188</v>
      </c>
      <c r="K137" s="614" t="s">
        <v>255</v>
      </c>
    </row>
    <row r="138" spans="1:11" s="311" customFormat="1" ht="15.5">
      <c r="A138" s="611">
        <v>134</v>
      </c>
      <c r="B138" s="65">
        <v>10</v>
      </c>
      <c r="C138" s="75" t="s">
        <v>622</v>
      </c>
      <c r="D138" s="617" t="str">
        <f>IFERROR(VLOOKUP(C138,Foundation!$C$5:$D$427,2,0),"")</f>
        <v>DA+1.5</v>
      </c>
      <c r="E138" s="1029" t="s">
        <v>405</v>
      </c>
      <c r="F138" s="726">
        <v>45660</v>
      </c>
      <c r="G138" s="726">
        <v>45660</v>
      </c>
      <c r="H138" s="64" t="s">
        <v>1179</v>
      </c>
      <c r="I138" s="64" t="s">
        <v>1184</v>
      </c>
      <c r="J138" s="65" t="s">
        <v>1188</v>
      </c>
      <c r="K138" s="614" t="s">
        <v>255</v>
      </c>
    </row>
    <row r="139" spans="1:11" s="311" customFormat="1" ht="15.5">
      <c r="A139" s="611">
        <v>135</v>
      </c>
      <c r="B139" s="65">
        <v>11</v>
      </c>
      <c r="C139" s="75" t="s">
        <v>207</v>
      </c>
      <c r="D139" s="617" t="str">
        <f>IFERROR(VLOOKUP(C139,Foundation!$C$5:$D$427,2,0),"")</f>
        <v>DA+6</v>
      </c>
      <c r="E139" s="1029" t="s">
        <v>405</v>
      </c>
      <c r="F139" s="726" t="s">
        <v>1189</v>
      </c>
      <c r="G139" s="726" t="s">
        <v>1189</v>
      </c>
      <c r="H139" s="64" t="s">
        <v>1179</v>
      </c>
      <c r="I139" s="64" t="s">
        <v>1184</v>
      </c>
      <c r="J139" s="65" t="s">
        <v>1188</v>
      </c>
      <c r="K139" s="614" t="s">
        <v>255</v>
      </c>
    </row>
    <row r="140" spans="1:11" s="311" customFormat="1" ht="15.5">
      <c r="A140" s="611">
        <v>136</v>
      </c>
      <c r="B140" s="65">
        <v>12</v>
      </c>
      <c r="C140" s="75" t="s">
        <v>5</v>
      </c>
      <c r="D140" s="617" t="str">
        <f>IFERROR(VLOOKUP(C140,Foundation!$C$5:$D$427,2,0),"")</f>
        <v>DA+3</v>
      </c>
      <c r="E140" s="1029" t="s">
        <v>405</v>
      </c>
      <c r="F140" s="726" t="s">
        <v>1189</v>
      </c>
      <c r="G140" s="726" t="s">
        <v>1189</v>
      </c>
      <c r="H140" s="64" t="s">
        <v>1179</v>
      </c>
      <c r="I140" s="64" t="s">
        <v>1184</v>
      </c>
      <c r="J140" s="65" t="s">
        <v>1188</v>
      </c>
      <c r="K140" s="614" t="s">
        <v>255</v>
      </c>
    </row>
    <row r="141" spans="1:11" s="311" customFormat="1" ht="15.5">
      <c r="A141" s="611">
        <v>137</v>
      </c>
      <c r="B141" s="65">
        <v>13</v>
      </c>
      <c r="C141" s="75" t="s">
        <v>6</v>
      </c>
      <c r="D141" s="617" t="str">
        <f>IFERROR(VLOOKUP(C141,Foundation!$C$5:$D$427,2,0),"")</f>
        <v>DA+6</v>
      </c>
      <c r="E141" s="1029" t="s">
        <v>405</v>
      </c>
      <c r="F141" s="726" t="s">
        <v>1189</v>
      </c>
      <c r="G141" s="726" t="s">
        <v>1189</v>
      </c>
      <c r="H141" s="64" t="s">
        <v>1179</v>
      </c>
      <c r="I141" s="64" t="s">
        <v>1184</v>
      </c>
      <c r="J141" s="65" t="s">
        <v>1188</v>
      </c>
      <c r="K141" s="614" t="s">
        <v>255</v>
      </c>
    </row>
    <row r="142" spans="1:11" s="311" customFormat="1" ht="15.5">
      <c r="A142" s="611">
        <v>138</v>
      </c>
      <c r="B142" s="65">
        <v>14</v>
      </c>
      <c r="C142" s="75" t="s">
        <v>632</v>
      </c>
      <c r="D142" s="617" t="str">
        <f>IFERROR(VLOOKUP(C142,Foundation!$C$5:$D$427,2,0),"")</f>
        <v>DA+9</v>
      </c>
      <c r="E142" s="1029" t="s">
        <v>405</v>
      </c>
      <c r="F142" s="726" t="s">
        <v>1189</v>
      </c>
      <c r="G142" s="726" t="s">
        <v>1189</v>
      </c>
      <c r="H142" s="64" t="s">
        <v>1179</v>
      </c>
      <c r="I142" s="64" t="s">
        <v>1184</v>
      </c>
      <c r="J142" s="65" t="s">
        <v>1188</v>
      </c>
      <c r="K142" s="614" t="s">
        <v>255</v>
      </c>
    </row>
    <row r="143" spans="1:11" s="311" customFormat="1" ht="15.5">
      <c r="A143" s="611">
        <v>139</v>
      </c>
      <c r="B143" s="65">
        <v>15</v>
      </c>
      <c r="C143" s="75" t="s">
        <v>633</v>
      </c>
      <c r="D143" s="617" t="str">
        <f>IFERROR(VLOOKUP(C143,Foundation!$C$5:$D$427,2,0),"")</f>
        <v>DA+9</v>
      </c>
      <c r="E143" s="1029" t="s">
        <v>405</v>
      </c>
      <c r="F143" s="726" t="s">
        <v>1189</v>
      </c>
      <c r="G143" s="726" t="s">
        <v>1189</v>
      </c>
      <c r="H143" s="64" t="s">
        <v>1179</v>
      </c>
      <c r="I143" s="64" t="s">
        <v>1184</v>
      </c>
      <c r="J143" s="65" t="s">
        <v>1188</v>
      </c>
      <c r="K143" s="614" t="s">
        <v>255</v>
      </c>
    </row>
    <row r="144" spans="1:11" s="311" customFormat="1" ht="15.5">
      <c r="A144" s="611">
        <v>140</v>
      </c>
      <c r="B144" s="65">
        <v>16</v>
      </c>
      <c r="C144" s="75" t="s">
        <v>634</v>
      </c>
      <c r="D144" s="617" t="str">
        <f>IFERROR(VLOOKUP(C144,Foundation!$C$5:$D$427,2,0),"")</f>
        <v>DA+3</v>
      </c>
      <c r="E144" s="1029" t="s">
        <v>405</v>
      </c>
      <c r="F144" s="726" t="s">
        <v>1189</v>
      </c>
      <c r="G144" s="726" t="s">
        <v>1189</v>
      </c>
      <c r="H144" s="64" t="s">
        <v>1179</v>
      </c>
      <c r="I144" s="64" t="s">
        <v>1184</v>
      </c>
      <c r="J144" s="65" t="s">
        <v>1188</v>
      </c>
      <c r="K144" s="614" t="s">
        <v>255</v>
      </c>
    </row>
    <row r="145" spans="1:11" s="311" customFormat="1" ht="15.5">
      <c r="A145" s="611">
        <v>141</v>
      </c>
      <c r="B145" s="65">
        <v>1</v>
      </c>
      <c r="C145" s="75" t="s">
        <v>571</v>
      </c>
      <c r="D145" s="617" t="str">
        <f>IFERROR(VLOOKUP(C145,Foundation!$C$5:$D$427,2,0),"")</f>
        <v>DA+0</v>
      </c>
      <c r="E145" s="1029" t="s">
        <v>405</v>
      </c>
      <c r="F145" s="726">
        <v>45701</v>
      </c>
      <c r="G145" s="726">
        <v>45701</v>
      </c>
      <c r="H145" s="64" t="s">
        <v>1179</v>
      </c>
      <c r="I145" s="64" t="s">
        <v>1184</v>
      </c>
      <c r="J145" s="65" t="s">
        <v>1220</v>
      </c>
      <c r="K145" s="614" t="s">
        <v>255</v>
      </c>
    </row>
    <row r="146" spans="1:11" s="311" customFormat="1" ht="15.5">
      <c r="A146" s="611">
        <v>142</v>
      </c>
      <c r="B146" s="65">
        <v>2</v>
      </c>
      <c r="C146" s="75" t="s">
        <v>574</v>
      </c>
      <c r="D146" s="617" t="str">
        <f>IFERROR(VLOOKUP(C146,Foundation!$C$5:$D$427,2,0),"")</f>
        <v>DA+3</v>
      </c>
      <c r="E146" s="1029" t="s">
        <v>405</v>
      </c>
      <c r="F146" s="726">
        <v>45701</v>
      </c>
      <c r="G146" s="726">
        <v>45701</v>
      </c>
      <c r="H146" s="64" t="s">
        <v>1179</v>
      </c>
      <c r="I146" s="64" t="s">
        <v>1184</v>
      </c>
      <c r="J146" s="65" t="s">
        <v>1220</v>
      </c>
      <c r="K146" s="614" t="s">
        <v>255</v>
      </c>
    </row>
    <row r="147" spans="1:11" s="311" customFormat="1" ht="15.5">
      <c r="A147" s="611">
        <v>143</v>
      </c>
      <c r="B147" s="65">
        <v>3</v>
      </c>
      <c r="C147" s="75" t="s">
        <v>575</v>
      </c>
      <c r="D147" s="617" t="str">
        <f>IFERROR(VLOOKUP(C147,Foundation!$C$5:$D$427,2,0),"")</f>
        <v>DA+1.5</v>
      </c>
      <c r="E147" s="1029" t="s">
        <v>405</v>
      </c>
      <c r="F147" s="726">
        <v>45701</v>
      </c>
      <c r="G147" s="726">
        <v>45701</v>
      </c>
      <c r="H147" s="64" t="s">
        <v>1179</v>
      </c>
      <c r="I147" s="64" t="s">
        <v>1184</v>
      </c>
      <c r="J147" s="65" t="s">
        <v>1220</v>
      </c>
      <c r="K147" s="614" t="s">
        <v>255</v>
      </c>
    </row>
    <row r="148" spans="1:11" s="311" customFormat="1" ht="15.5">
      <c r="A148" s="611">
        <v>144</v>
      </c>
      <c r="B148" s="65">
        <v>4</v>
      </c>
      <c r="C148" s="75" t="s">
        <v>166</v>
      </c>
      <c r="D148" s="617" t="str">
        <f>IFERROR(VLOOKUP(C148,Foundation!$C$5:$D$427,2,0),"")</f>
        <v>DB1+6</v>
      </c>
      <c r="E148" s="1029" t="s">
        <v>405</v>
      </c>
      <c r="F148" s="726">
        <v>45701</v>
      </c>
      <c r="G148" s="726">
        <v>45701</v>
      </c>
      <c r="H148" s="64" t="s">
        <v>1179</v>
      </c>
      <c r="I148" s="64" t="s">
        <v>1184</v>
      </c>
      <c r="J148" s="65" t="s">
        <v>1220</v>
      </c>
      <c r="K148" s="614" t="s">
        <v>255</v>
      </c>
    </row>
    <row r="149" spans="1:11" s="311" customFormat="1" ht="15.5">
      <c r="A149" s="611">
        <v>145</v>
      </c>
      <c r="B149" s="65">
        <v>5</v>
      </c>
      <c r="C149" s="75" t="s">
        <v>584</v>
      </c>
      <c r="D149" s="617" t="str">
        <f>IFERROR(VLOOKUP(C149,Foundation!$C$5:$D$427,2,0),"")</f>
        <v>DA+0</v>
      </c>
      <c r="E149" s="1029" t="s">
        <v>405</v>
      </c>
      <c r="F149" s="726">
        <v>45701</v>
      </c>
      <c r="G149" s="726">
        <v>45701</v>
      </c>
      <c r="H149" s="64" t="s">
        <v>1179</v>
      </c>
      <c r="I149" s="64" t="s">
        <v>1184</v>
      </c>
      <c r="J149" s="65" t="s">
        <v>1220</v>
      </c>
      <c r="K149" s="614" t="s">
        <v>255</v>
      </c>
    </row>
    <row r="150" spans="1:11" s="311" customFormat="1" ht="15.5">
      <c r="A150" s="611">
        <v>146</v>
      </c>
      <c r="B150" s="65">
        <v>6</v>
      </c>
      <c r="C150" s="75" t="s">
        <v>71</v>
      </c>
      <c r="D150" s="617" t="str">
        <f>IFERROR(VLOOKUP(C150,Foundation!$C$5:$D$427,2,0),"")</f>
        <v>DB2+0</v>
      </c>
      <c r="E150" s="1029" t="s">
        <v>405</v>
      </c>
      <c r="F150" s="726">
        <v>45701</v>
      </c>
      <c r="G150" s="726">
        <v>45701</v>
      </c>
      <c r="H150" s="64" t="s">
        <v>1179</v>
      </c>
      <c r="I150" s="64" t="s">
        <v>1184</v>
      </c>
      <c r="J150" s="65" t="s">
        <v>1220</v>
      </c>
      <c r="K150" s="614" t="s">
        <v>255</v>
      </c>
    </row>
    <row r="151" spans="1:11" s="311" customFormat="1" ht="15.5">
      <c r="A151" s="611">
        <v>147</v>
      </c>
      <c r="B151" s="65">
        <v>7</v>
      </c>
      <c r="C151" s="75" t="s">
        <v>593</v>
      </c>
      <c r="D151" s="617" t="str">
        <f>IFERROR(VLOOKUP(C151,Foundation!$C$5:$D$427,2,0),"")</f>
        <v>DA+9</v>
      </c>
      <c r="E151" s="1029" t="s">
        <v>405</v>
      </c>
      <c r="F151" s="726">
        <v>45702</v>
      </c>
      <c r="G151" s="726">
        <v>45702</v>
      </c>
      <c r="H151" s="64" t="s">
        <v>1179</v>
      </c>
      <c r="I151" s="64" t="s">
        <v>1184</v>
      </c>
      <c r="J151" s="65" t="s">
        <v>1220</v>
      </c>
      <c r="K151" s="614" t="s">
        <v>255</v>
      </c>
    </row>
    <row r="152" spans="1:11" s="311" customFormat="1" ht="15.5">
      <c r="A152" s="611">
        <v>148</v>
      </c>
      <c r="B152" s="65">
        <v>8</v>
      </c>
      <c r="C152" s="75" t="s">
        <v>597</v>
      </c>
      <c r="D152" s="617" t="str">
        <f>IFERROR(VLOOKUP(C152,Foundation!$C$5:$D$427,2,0),"")</f>
        <v>DA+6</v>
      </c>
      <c r="E152" s="1029" t="s">
        <v>405</v>
      </c>
      <c r="F152" s="726">
        <v>45702</v>
      </c>
      <c r="G152" s="726">
        <v>45702</v>
      </c>
      <c r="H152" s="64" t="s">
        <v>1179</v>
      </c>
      <c r="I152" s="64" t="s">
        <v>1184</v>
      </c>
      <c r="J152" s="65" t="s">
        <v>1220</v>
      </c>
      <c r="K152" s="614" t="s">
        <v>255</v>
      </c>
    </row>
    <row r="153" spans="1:11" s="311" customFormat="1" ht="15.5">
      <c r="A153" s="611">
        <v>149</v>
      </c>
      <c r="B153" s="65">
        <v>9</v>
      </c>
      <c r="C153" s="75" t="s">
        <v>598</v>
      </c>
      <c r="D153" s="617" t="str">
        <f>IFERROR(VLOOKUP(C153,Foundation!$C$5:$D$427,2,0),"")</f>
        <v>DA+1.5</v>
      </c>
      <c r="E153" s="1029" t="s">
        <v>405</v>
      </c>
      <c r="F153" s="726">
        <v>45702</v>
      </c>
      <c r="G153" s="726">
        <v>45702</v>
      </c>
      <c r="H153" s="64" t="s">
        <v>1179</v>
      </c>
      <c r="I153" s="64" t="s">
        <v>1184</v>
      </c>
      <c r="J153" s="65" t="s">
        <v>1220</v>
      </c>
      <c r="K153" s="614" t="s">
        <v>255</v>
      </c>
    </row>
    <row r="154" spans="1:11" s="311" customFormat="1" ht="15.5">
      <c r="A154" s="611">
        <v>150</v>
      </c>
      <c r="B154" s="65">
        <v>10</v>
      </c>
      <c r="C154" s="75" t="s">
        <v>600</v>
      </c>
      <c r="D154" s="617" t="str">
        <f>IFERROR(VLOOKUP(C154,Foundation!$C$5:$D$427,2,0),"")</f>
        <v>DA+3</v>
      </c>
      <c r="E154" s="1029" t="s">
        <v>405</v>
      </c>
      <c r="F154" s="726">
        <v>45702</v>
      </c>
      <c r="G154" s="726">
        <v>45702</v>
      </c>
      <c r="H154" s="64" t="s">
        <v>1179</v>
      </c>
      <c r="I154" s="64" t="s">
        <v>1184</v>
      </c>
      <c r="J154" s="65" t="s">
        <v>1220</v>
      </c>
      <c r="K154" s="614" t="s">
        <v>255</v>
      </c>
    </row>
    <row r="155" spans="1:11" s="311" customFormat="1" ht="15.5">
      <c r="A155" s="611">
        <v>151</v>
      </c>
      <c r="B155" s="65">
        <v>11</v>
      </c>
      <c r="C155" s="75" t="s">
        <v>8</v>
      </c>
      <c r="D155" s="617" t="str">
        <f>IFERROR(VLOOKUP(C155,Foundation!$C$5:$D$427,2,0),"")</f>
        <v>DB2+3</v>
      </c>
      <c r="E155" s="1029" t="s">
        <v>405</v>
      </c>
      <c r="F155" s="726">
        <v>45702</v>
      </c>
      <c r="G155" s="726">
        <v>45702</v>
      </c>
      <c r="H155" s="64" t="s">
        <v>1179</v>
      </c>
      <c r="I155" s="64" t="s">
        <v>1184</v>
      </c>
      <c r="J155" s="65" t="s">
        <v>1220</v>
      </c>
      <c r="K155" s="614" t="s">
        <v>255</v>
      </c>
    </row>
    <row r="156" spans="1:11" s="311" customFormat="1" ht="15.5">
      <c r="A156" s="611">
        <v>152</v>
      </c>
      <c r="B156" s="65">
        <v>12</v>
      </c>
      <c r="C156" s="75" t="s">
        <v>65</v>
      </c>
      <c r="D156" s="617" t="str">
        <f>IFERROR(VLOOKUP(C156,Foundation!$C$5:$D$427,2,0),"")</f>
        <v>DB1+0</v>
      </c>
      <c r="E156" s="1029" t="s">
        <v>405</v>
      </c>
      <c r="F156" s="726">
        <v>45704</v>
      </c>
      <c r="G156" s="726">
        <v>45704</v>
      </c>
      <c r="H156" s="64" t="s">
        <v>1179</v>
      </c>
      <c r="I156" s="64" t="s">
        <v>1184</v>
      </c>
      <c r="J156" s="65" t="s">
        <v>1220</v>
      </c>
      <c r="K156" s="614" t="s">
        <v>255</v>
      </c>
    </row>
    <row r="157" spans="1:11" s="311" customFormat="1" ht="15.5">
      <c r="A157" s="611">
        <v>153</v>
      </c>
      <c r="B157" s="65">
        <v>13</v>
      </c>
      <c r="C157" s="75" t="s">
        <v>439</v>
      </c>
      <c r="D157" s="617" t="str">
        <f>IFERROR(VLOOKUP(C157,Foundation!$C$5:$D$427,2,0),"")</f>
        <v>DA+9</v>
      </c>
      <c r="E157" s="1029" t="s">
        <v>405</v>
      </c>
      <c r="F157" s="726">
        <v>45704</v>
      </c>
      <c r="G157" s="726">
        <v>45704</v>
      </c>
      <c r="H157" s="64" t="s">
        <v>1179</v>
      </c>
      <c r="I157" s="64" t="s">
        <v>1184</v>
      </c>
      <c r="J157" s="65" t="s">
        <v>1220</v>
      </c>
      <c r="K157" s="614" t="s">
        <v>255</v>
      </c>
    </row>
    <row r="158" spans="1:11" s="311" customFormat="1" ht="15.5">
      <c r="A158" s="611">
        <v>154</v>
      </c>
      <c r="B158" s="65">
        <v>14</v>
      </c>
      <c r="C158" s="75" t="s">
        <v>440</v>
      </c>
      <c r="D158" s="617" t="str">
        <f>IFERROR(VLOOKUP(C158,Foundation!$C$5:$D$427,2,0),"")</f>
        <v>DA+0</v>
      </c>
      <c r="E158" s="1029" t="s">
        <v>405</v>
      </c>
      <c r="F158" s="726">
        <v>45704</v>
      </c>
      <c r="G158" s="726">
        <v>45704</v>
      </c>
      <c r="H158" s="64" t="s">
        <v>1179</v>
      </c>
      <c r="I158" s="64" t="s">
        <v>1184</v>
      </c>
      <c r="J158" s="65" t="s">
        <v>1220</v>
      </c>
      <c r="K158" s="614" t="s">
        <v>255</v>
      </c>
    </row>
    <row r="159" spans="1:11" s="311" customFormat="1" ht="15.5">
      <c r="A159" s="611">
        <v>155</v>
      </c>
      <c r="B159" s="65">
        <v>15</v>
      </c>
      <c r="C159" s="75" t="s">
        <v>437</v>
      </c>
      <c r="D159" s="617" t="str">
        <f>IFERROR(VLOOKUP(C159,Foundation!$C$5:$D$427,2,0),"")</f>
        <v>DA+9</v>
      </c>
      <c r="E159" s="1029" t="s">
        <v>405</v>
      </c>
      <c r="F159" s="726">
        <v>45339</v>
      </c>
      <c r="G159" s="726">
        <v>45339</v>
      </c>
      <c r="H159" s="64" t="s">
        <v>1179</v>
      </c>
      <c r="I159" s="64" t="s">
        <v>1184</v>
      </c>
      <c r="J159" s="65" t="s">
        <v>1220</v>
      </c>
      <c r="K159" s="614" t="s">
        <v>255</v>
      </c>
    </row>
    <row r="160" spans="1:11" s="311" customFormat="1" ht="15.5">
      <c r="A160" s="611">
        <v>156</v>
      </c>
      <c r="B160" s="65">
        <v>16</v>
      </c>
      <c r="C160" s="75" t="s">
        <v>438</v>
      </c>
      <c r="D160" s="617" t="str">
        <f>IFERROR(VLOOKUP(C160,Foundation!$C$5:$D$427,2,0),"")</f>
        <v>DA+3</v>
      </c>
      <c r="E160" s="1029" t="s">
        <v>405</v>
      </c>
      <c r="F160" s="726">
        <v>45339</v>
      </c>
      <c r="G160" s="726">
        <v>45339</v>
      </c>
      <c r="H160" s="64" t="s">
        <v>1179</v>
      </c>
      <c r="I160" s="64" t="s">
        <v>1184</v>
      </c>
      <c r="J160" s="65" t="s">
        <v>1220</v>
      </c>
      <c r="K160" s="614" t="s">
        <v>255</v>
      </c>
    </row>
    <row r="161" spans="1:11" s="311" customFormat="1" ht="15.5">
      <c r="A161" s="611">
        <v>157</v>
      </c>
      <c r="B161" s="65">
        <v>17</v>
      </c>
      <c r="C161" s="75" t="s">
        <v>441</v>
      </c>
      <c r="D161" s="617" t="str">
        <f>IFERROR(VLOOKUP(C161,Foundation!$C$5:$D$427,2,0),"")</f>
        <v>DA+6</v>
      </c>
      <c r="E161" s="1029" t="s">
        <v>405</v>
      </c>
      <c r="F161" s="726">
        <v>45339</v>
      </c>
      <c r="G161" s="726">
        <v>45339</v>
      </c>
      <c r="H161" s="64" t="s">
        <v>1179</v>
      </c>
      <c r="I161" s="64" t="s">
        <v>1184</v>
      </c>
      <c r="J161" s="65" t="s">
        <v>1220</v>
      </c>
      <c r="K161" s="614" t="s">
        <v>255</v>
      </c>
    </row>
    <row r="162" spans="1:11" s="311" customFormat="1" ht="15.5">
      <c r="A162" s="611">
        <v>158</v>
      </c>
      <c r="B162" s="65">
        <v>18</v>
      </c>
      <c r="C162" s="75" t="s">
        <v>442</v>
      </c>
      <c r="D162" s="617" t="str">
        <f>IFERROR(VLOOKUP(C162,Foundation!$C$5:$D$427,2,0),"")</f>
        <v>DA-3</v>
      </c>
      <c r="E162" s="1029" t="s">
        <v>405</v>
      </c>
      <c r="F162" s="726">
        <v>45339</v>
      </c>
      <c r="G162" s="726">
        <v>45339</v>
      </c>
      <c r="H162" s="64" t="s">
        <v>1179</v>
      </c>
      <c r="I162" s="64" t="s">
        <v>1184</v>
      </c>
      <c r="J162" s="65" t="s">
        <v>1220</v>
      </c>
      <c r="K162" s="614" t="s">
        <v>255</v>
      </c>
    </row>
    <row r="163" spans="1:11" s="311" customFormat="1" ht="15.5">
      <c r="A163" s="611">
        <v>159</v>
      </c>
      <c r="B163" s="65">
        <v>19</v>
      </c>
      <c r="C163" s="75" t="s">
        <v>443</v>
      </c>
      <c r="D163" s="617" t="str">
        <f>IFERROR(VLOOKUP(C163,Foundation!$C$5:$D$427,2,0),"")</f>
        <v>DA+3</v>
      </c>
      <c r="E163" s="1029" t="s">
        <v>405</v>
      </c>
      <c r="F163" s="726">
        <v>45339</v>
      </c>
      <c r="G163" s="726">
        <v>45339</v>
      </c>
      <c r="H163" s="64" t="s">
        <v>1179</v>
      </c>
      <c r="I163" s="64" t="s">
        <v>1184</v>
      </c>
      <c r="J163" s="65" t="s">
        <v>1220</v>
      </c>
      <c r="K163" s="614" t="s">
        <v>255</v>
      </c>
    </row>
    <row r="164" spans="1:11" s="311" customFormat="1" ht="15.5">
      <c r="A164" s="611">
        <v>160</v>
      </c>
      <c r="B164" s="65">
        <v>20</v>
      </c>
      <c r="C164" s="75" t="s">
        <v>444</v>
      </c>
      <c r="D164" s="617" t="str">
        <f>IFERROR(VLOOKUP(C164,Foundation!$C$5:$D$427,2,0),"")</f>
        <v>DA-3</v>
      </c>
      <c r="E164" s="1029" t="s">
        <v>405</v>
      </c>
      <c r="F164" s="726">
        <v>45339</v>
      </c>
      <c r="G164" s="726">
        <v>45339</v>
      </c>
      <c r="H164" s="64" t="s">
        <v>1179</v>
      </c>
      <c r="I164" s="64" t="s">
        <v>1184</v>
      </c>
      <c r="J164" s="65" t="s">
        <v>1220</v>
      </c>
      <c r="K164" s="614" t="s">
        <v>255</v>
      </c>
    </row>
    <row r="165" spans="1:11" s="311" customFormat="1" ht="15.5">
      <c r="A165" s="611">
        <v>161</v>
      </c>
      <c r="B165" s="65">
        <v>21</v>
      </c>
      <c r="C165" s="75" t="s">
        <v>445</v>
      </c>
      <c r="D165" s="617" t="str">
        <f>IFERROR(VLOOKUP(C165,Foundation!$C$5:$D$427,2,0),"")</f>
        <v>DA+3</v>
      </c>
      <c r="E165" s="1029" t="s">
        <v>405</v>
      </c>
      <c r="F165" s="726">
        <v>45339</v>
      </c>
      <c r="G165" s="726">
        <v>45339</v>
      </c>
      <c r="H165" s="64" t="s">
        <v>1179</v>
      </c>
      <c r="I165" s="64" t="s">
        <v>1184</v>
      </c>
      <c r="J165" s="65" t="s">
        <v>1220</v>
      </c>
      <c r="K165" s="614" t="s">
        <v>255</v>
      </c>
    </row>
    <row r="166" spans="1:11" s="311" customFormat="1" ht="15.5">
      <c r="A166" s="611">
        <v>162</v>
      </c>
      <c r="B166" s="65">
        <v>22</v>
      </c>
      <c r="C166" s="75" t="s">
        <v>9</v>
      </c>
      <c r="D166" s="617" t="str">
        <f>IFERROR(VLOOKUP(C166,Foundation!$C$5:$D$427,2,0),"")</f>
        <v>DB1+0</v>
      </c>
      <c r="E166" s="1029" t="s">
        <v>405</v>
      </c>
      <c r="F166" s="726">
        <v>45706</v>
      </c>
      <c r="G166" s="726">
        <v>45706</v>
      </c>
      <c r="H166" s="64" t="s">
        <v>1179</v>
      </c>
      <c r="I166" s="64" t="s">
        <v>1184</v>
      </c>
      <c r="J166" s="65" t="s">
        <v>1220</v>
      </c>
      <c r="K166" s="614" t="s">
        <v>255</v>
      </c>
    </row>
    <row r="167" spans="1:11" s="311" customFormat="1" ht="15.5">
      <c r="A167" s="611">
        <v>163</v>
      </c>
      <c r="B167" s="65">
        <v>23</v>
      </c>
      <c r="C167" s="75" t="s">
        <v>82</v>
      </c>
      <c r="D167" s="617" t="str">
        <f>IFERROR(VLOOKUP(C167,Foundation!$C$5:$D$427,2,0),"")</f>
        <v>DA+3</v>
      </c>
      <c r="E167" s="1029" t="s">
        <v>405</v>
      </c>
      <c r="F167" s="726">
        <v>45706</v>
      </c>
      <c r="G167" s="726">
        <v>45706</v>
      </c>
      <c r="H167" s="64" t="s">
        <v>1179</v>
      </c>
      <c r="I167" s="64" t="s">
        <v>1184</v>
      </c>
      <c r="J167" s="65" t="s">
        <v>1220</v>
      </c>
      <c r="K167" s="614" t="s">
        <v>255</v>
      </c>
    </row>
    <row r="168" spans="1:11" s="311" customFormat="1" ht="15.5">
      <c r="A168" s="611">
        <v>164</v>
      </c>
      <c r="B168" s="65">
        <v>24</v>
      </c>
      <c r="C168" s="75" t="s">
        <v>163</v>
      </c>
      <c r="D168" s="617" t="str">
        <f>IFERROR(VLOOKUP(C168,Foundation!$C$5:$D$427,2,0),"")</f>
        <v>DA+1.5</v>
      </c>
      <c r="E168" s="1029" t="s">
        <v>405</v>
      </c>
      <c r="F168" s="726">
        <v>45706</v>
      </c>
      <c r="G168" s="726">
        <v>45706</v>
      </c>
      <c r="H168" s="64" t="s">
        <v>1179</v>
      </c>
      <c r="I168" s="64" t="s">
        <v>1184</v>
      </c>
      <c r="J168" s="65" t="s">
        <v>1220</v>
      </c>
      <c r="K168" s="614" t="s">
        <v>255</v>
      </c>
    </row>
    <row r="169" spans="1:11" s="311" customFormat="1" ht="15.5">
      <c r="A169" s="611">
        <v>165</v>
      </c>
      <c r="B169" s="65">
        <v>25</v>
      </c>
      <c r="C169" s="75" t="s">
        <v>446</v>
      </c>
      <c r="D169" s="617" t="str">
        <f>IFERROR(VLOOKUP(C169,Foundation!$C$5:$D$427,2,0),"")</f>
        <v>DA-1.5</v>
      </c>
      <c r="E169" s="1029" t="s">
        <v>405</v>
      </c>
      <c r="F169" s="726">
        <v>45706</v>
      </c>
      <c r="G169" s="726">
        <v>45706</v>
      </c>
      <c r="H169" s="64" t="s">
        <v>1179</v>
      </c>
      <c r="I169" s="64" t="s">
        <v>1184</v>
      </c>
      <c r="J169" s="65" t="s">
        <v>1220</v>
      </c>
      <c r="K169" s="614" t="s">
        <v>255</v>
      </c>
    </row>
    <row r="170" spans="1:11" s="311" customFormat="1" ht="15.5">
      <c r="A170" s="611">
        <v>166</v>
      </c>
      <c r="B170" s="65">
        <v>26</v>
      </c>
      <c r="C170" s="75" t="s">
        <v>447</v>
      </c>
      <c r="D170" s="617" t="str">
        <f>IFERROR(VLOOKUP(C170,Foundation!$C$5:$D$427,2,0),"")</f>
        <v>DA+6</v>
      </c>
      <c r="E170" s="1029" t="s">
        <v>405</v>
      </c>
      <c r="F170" s="726">
        <v>45706</v>
      </c>
      <c r="G170" s="726">
        <v>45706</v>
      </c>
      <c r="H170" s="64" t="s">
        <v>1179</v>
      </c>
      <c r="I170" s="64" t="s">
        <v>1184</v>
      </c>
      <c r="J170" s="65" t="s">
        <v>1220</v>
      </c>
      <c r="K170" s="614" t="s">
        <v>255</v>
      </c>
    </row>
    <row r="171" spans="1:11" s="311" customFormat="1" ht="15.5">
      <c r="A171" s="611">
        <v>167</v>
      </c>
      <c r="B171" s="65">
        <v>27</v>
      </c>
      <c r="C171" s="75" t="s">
        <v>10</v>
      </c>
      <c r="D171" s="617" t="str">
        <f>IFERROR(VLOOKUP(C171,Foundation!$C$5:$D$427,2,0),"")</f>
        <v>DB2+0</v>
      </c>
      <c r="E171" s="1029" t="s">
        <v>405</v>
      </c>
      <c r="F171" s="726">
        <v>45706</v>
      </c>
      <c r="G171" s="726">
        <v>45706</v>
      </c>
      <c r="H171" s="64" t="s">
        <v>1179</v>
      </c>
      <c r="I171" s="64" t="s">
        <v>1184</v>
      </c>
      <c r="J171" s="65" t="s">
        <v>1220</v>
      </c>
      <c r="K171" s="614" t="s">
        <v>255</v>
      </c>
    </row>
    <row r="172" spans="1:11" s="311" customFormat="1" ht="15.5">
      <c r="A172" s="611">
        <v>168</v>
      </c>
      <c r="B172" s="65">
        <v>28</v>
      </c>
      <c r="C172" s="75" t="s">
        <v>66</v>
      </c>
      <c r="D172" s="617" t="str">
        <f>IFERROR(VLOOKUP(C172,Foundation!$C$5:$D$427,2,0),"")</f>
        <v>DA+6</v>
      </c>
      <c r="E172" s="1029" t="s">
        <v>405</v>
      </c>
      <c r="F172" s="726">
        <v>45706</v>
      </c>
      <c r="G172" s="726">
        <v>45706</v>
      </c>
      <c r="H172" s="64" t="s">
        <v>1179</v>
      </c>
      <c r="I172" s="64" t="s">
        <v>1184</v>
      </c>
      <c r="J172" s="65" t="s">
        <v>1220</v>
      </c>
      <c r="K172" s="614" t="s">
        <v>255</v>
      </c>
    </row>
    <row r="173" spans="1:11" s="311" customFormat="1" ht="15.5">
      <c r="A173" s="611">
        <v>169</v>
      </c>
      <c r="B173" s="65">
        <v>29</v>
      </c>
      <c r="C173" s="75" t="s">
        <v>165</v>
      </c>
      <c r="D173" s="617" t="str">
        <f>IFERROR(VLOOKUP(C173,Foundation!$C$5:$D$427,2,0),"")</f>
        <v>DA+9</v>
      </c>
      <c r="E173" s="1029" t="s">
        <v>405</v>
      </c>
      <c r="F173" s="726">
        <v>45706</v>
      </c>
      <c r="G173" s="726">
        <v>45706</v>
      </c>
      <c r="H173" s="64" t="s">
        <v>1179</v>
      </c>
      <c r="I173" s="64" t="s">
        <v>1184</v>
      </c>
      <c r="J173" s="65" t="s">
        <v>1220</v>
      </c>
      <c r="K173" s="614" t="s">
        <v>255</v>
      </c>
    </row>
    <row r="174" spans="1:11" s="311" customFormat="1" ht="15.5">
      <c r="A174" s="611">
        <v>170</v>
      </c>
      <c r="B174" s="65">
        <v>1</v>
      </c>
      <c r="C174" s="75" t="s">
        <v>623</v>
      </c>
      <c r="D174" s="617" t="str">
        <f>IFERROR(VLOOKUP(C174,Foundation!$C$5:$D$427,2,0),"")</f>
        <v>DA+3</v>
      </c>
      <c r="E174" s="1029" t="s">
        <v>405</v>
      </c>
      <c r="F174" s="726">
        <v>45746</v>
      </c>
      <c r="G174" s="726">
        <v>45746</v>
      </c>
      <c r="H174" s="64" t="s">
        <v>952</v>
      </c>
      <c r="I174" s="64" t="s">
        <v>1408</v>
      </c>
      <c r="J174" s="65" t="s">
        <v>1409</v>
      </c>
      <c r="K174" s="614" t="s">
        <v>255</v>
      </c>
    </row>
    <row r="175" spans="1:11" s="311" customFormat="1" ht="15.5">
      <c r="A175" s="611">
        <v>171</v>
      </c>
      <c r="B175" s="65">
        <v>2</v>
      </c>
      <c r="C175" s="75" t="s">
        <v>624</v>
      </c>
      <c r="D175" s="617" t="str">
        <f>IFERROR(VLOOKUP(C175,Foundation!$C$5:$D$427,2,0),"")</f>
        <v>DA+1.5</v>
      </c>
      <c r="E175" s="1029" t="s">
        <v>405</v>
      </c>
      <c r="F175" s="726">
        <v>45746</v>
      </c>
      <c r="G175" s="726">
        <v>45746</v>
      </c>
      <c r="H175" s="64" t="s">
        <v>952</v>
      </c>
      <c r="I175" s="64" t="s">
        <v>1408</v>
      </c>
      <c r="J175" s="65" t="s">
        <v>1409</v>
      </c>
      <c r="K175" s="614" t="s">
        <v>255</v>
      </c>
    </row>
    <row r="176" spans="1:11" s="311" customFormat="1" ht="15.5">
      <c r="A176" s="611">
        <v>172</v>
      </c>
      <c r="B176" s="65">
        <v>3</v>
      </c>
      <c r="C176" s="75" t="s">
        <v>625</v>
      </c>
      <c r="D176" s="617" t="str">
        <f>IFERROR(VLOOKUP(C176,Foundation!$C$5:$D$427,2,0),"")</f>
        <v>DA+1.5</v>
      </c>
      <c r="E176" s="1029" t="s">
        <v>405</v>
      </c>
      <c r="F176" s="726">
        <v>45746</v>
      </c>
      <c r="G176" s="726">
        <v>45746</v>
      </c>
      <c r="H176" s="64" t="s">
        <v>952</v>
      </c>
      <c r="I176" s="64" t="s">
        <v>1408</v>
      </c>
      <c r="J176" s="65" t="s">
        <v>1409</v>
      </c>
      <c r="K176" s="614" t="s">
        <v>255</v>
      </c>
    </row>
    <row r="177" spans="1:11" s="311" customFormat="1" ht="15.5">
      <c r="A177" s="65">
        <v>173</v>
      </c>
      <c r="B177" s="65">
        <v>4</v>
      </c>
      <c r="C177" s="75" t="s">
        <v>626</v>
      </c>
      <c r="D177" s="617" t="str">
        <f>IFERROR(VLOOKUP(C177,Foundation!$C$5:$D$427,2,0),"")</f>
        <v>DA+3</v>
      </c>
      <c r="E177" s="1029" t="s">
        <v>405</v>
      </c>
      <c r="F177" s="726">
        <v>45747</v>
      </c>
      <c r="G177" s="726">
        <v>45747</v>
      </c>
      <c r="H177" s="64" t="s">
        <v>952</v>
      </c>
      <c r="I177" s="64" t="s">
        <v>1408</v>
      </c>
      <c r="J177" s="65" t="s">
        <v>1409</v>
      </c>
      <c r="K177" s="64" t="s">
        <v>255</v>
      </c>
    </row>
    <row r="178" spans="1:11" s="311" customFormat="1" ht="15.5">
      <c r="A178" s="65">
        <v>174</v>
      </c>
      <c r="B178" s="65">
        <v>5</v>
      </c>
      <c r="C178" s="75" t="s">
        <v>628</v>
      </c>
      <c r="D178" s="617" t="str">
        <f>IFERROR(VLOOKUP(C178,Foundation!$C$5:$D$427,2,0),"")</f>
        <v>DA+6</v>
      </c>
      <c r="E178" s="1029" t="s">
        <v>405</v>
      </c>
      <c r="F178" s="726">
        <v>45747</v>
      </c>
      <c r="G178" s="726">
        <v>45747</v>
      </c>
      <c r="H178" s="64" t="s">
        <v>952</v>
      </c>
      <c r="I178" s="64" t="s">
        <v>1408</v>
      </c>
      <c r="J178" s="65" t="s">
        <v>1409</v>
      </c>
      <c r="K178" s="64" t="s">
        <v>255</v>
      </c>
    </row>
    <row r="179" spans="1:11" s="311" customFormat="1" ht="15.5">
      <c r="A179" s="65">
        <v>175</v>
      </c>
      <c r="B179" s="65">
        <v>6</v>
      </c>
      <c r="C179" s="75" t="s">
        <v>629</v>
      </c>
      <c r="D179" s="617" t="str">
        <f>IFERROR(VLOOKUP(C179,Foundation!$C$5:$D$427,2,0),"")</f>
        <v>DA+3</v>
      </c>
      <c r="E179" s="1029" t="s">
        <v>405</v>
      </c>
      <c r="F179" s="726">
        <v>45747</v>
      </c>
      <c r="G179" s="726">
        <v>45747</v>
      </c>
      <c r="H179" s="64" t="s">
        <v>952</v>
      </c>
      <c r="I179" s="64" t="s">
        <v>1408</v>
      </c>
      <c r="J179" s="65" t="s">
        <v>1409</v>
      </c>
      <c r="K179" s="64" t="s">
        <v>255</v>
      </c>
    </row>
    <row r="180" spans="1:11" s="311" customFormat="1" ht="15.5">
      <c r="A180" s="65">
        <v>176</v>
      </c>
      <c r="B180" s="65">
        <v>7</v>
      </c>
      <c r="C180" s="75" t="s">
        <v>630</v>
      </c>
      <c r="D180" s="617" t="str">
        <f>IFERROR(VLOOKUP(C180,Foundation!$C$5:$D$427,2,0),"")</f>
        <v>DA+6</v>
      </c>
      <c r="E180" s="1029" t="s">
        <v>405</v>
      </c>
      <c r="F180" s="726">
        <v>45747</v>
      </c>
      <c r="G180" s="726">
        <v>45747</v>
      </c>
      <c r="H180" s="64" t="s">
        <v>952</v>
      </c>
      <c r="I180" s="64" t="s">
        <v>1408</v>
      </c>
      <c r="J180" s="65" t="s">
        <v>1409</v>
      </c>
      <c r="K180" s="64" t="s">
        <v>255</v>
      </c>
    </row>
    <row r="181" spans="1:11" s="311" customFormat="1" ht="15.5">
      <c r="A181" s="65">
        <v>177</v>
      </c>
      <c r="B181" s="65">
        <v>8</v>
      </c>
      <c r="C181" s="75" t="s">
        <v>74</v>
      </c>
      <c r="D181" s="617" t="str">
        <f>IFERROR(VLOOKUP(C181,Foundation!$C$5:$D$427,2,0),"")</f>
        <v>DB1+6</v>
      </c>
      <c r="E181" s="1029" t="s">
        <v>405</v>
      </c>
      <c r="F181" s="726">
        <v>45747</v>
      </c>
      <c r="G181" s="726">
        <v>45747</v>
      </c>
      <c r="H181" s="64" t="s">
        <v>952</v>
      </c>
      <c r="I181" s="64" t="s">
        <v>1408</v>
      </c>
      <c r="J181" s="65" t="s">
        <v>1409</v>
      </c>
      <c r="K181" s="64" t="s">
        <v>255</v>
      </c>
    </row>
    <row r="182" spans="1:11" s="311" customFormat="1" ht="15.5">
      <c r="A182" s="611">
        <v>178</v>
      </c>
      <c r="B182" s="65">
        <v>1</v>
      </c>
      <c r="C182" s="75" t="s">
        <v>635</v>
      </c>
      <c r="D182" s="617" t="str">
        <f>IFERROR(VLOOKUP(C182,Foundation!$C$5:$D$427,2,0),"")</f>
        <v>DA-1.5</v>
      </c>
      <c r="E182" s="1029" t="s">
        <v>405</v>
      </c>
      <c r="F182" s="726">
        <v>45748</v>
      </c>
      <c r="G182" s="726">
        <v>45748</v>
      </c>
      <c r="H182" s="64" t="s">
        <v>952</v>
      </c>
      <c r="I182" s="64" t="s">
        <v>1408</v>
      </c>
      <c r="J182" s="65" t="s">
        <v>1411</v>
      </c>
      <c r="K182" s="614" t="s">
        <v>255</v>
      </c>
    </row>
    <row r="183" spans="1:11" s="311" customFormat="1" ht="15.5">
      <c r="A183" s="611">
        <v>179</v>
      </c>
      <c r="B183" s="65">
        <v>2</v>
      </c>
      <c r="C183" s="75" t="s">
        <v>636</v>
      </c>
      <c r="D183" s="617" t="str">
        <f>IFERROR(VLOOKUP(C183,Foundation!$C$5:$D$427,2,0),"")</f>
        <v>DA+9</v>
      </c>
      <c r="E183" s="1029" t="s">
        <v>405</v>
      </c>
      <c r="F183" s="726">
        <v>45748</v>
      </c>
      <c r="G183" s="726">
        <v>45748</v>
      </c>
      <c r="H183" s="64" t="s">
        <v>952</v>
      </c>
      <c r="I183" s="64" t="s">
        <v>1408</v>
      </c>
      <c r="J183" s="65" t="s">
        <v>1411</v>
      </c>
      <c r="K183" s="614" t="s">
        <v>255</v>
      </c>
    </row>
    <row r="184" spans="1:11" s="311" customFormat="1" ht="15.5">
      <c r="A184" s="611">
        <v>180</v>
      </c>
      <c r="B184" s="65">
        <v>3</v>
      </c>
      <c r="C184" s="75" t="s">
        <v>637</v>
      </c>
      <c r="D184" s="617" t="str">
        <f>IFERROR(VLOOKUP(C184,Foundation!$C$5:$D$427,2,0),"")</f>
        <v>DA+3</v>
      </c>
      <c r="E184" s="1029" t="s">
        <v>405</v>
      </c>
      <c r="F184" s="726">
        <v>45750</v>
      </c>
      <c r="G184" s="726">
        <v>45750</v>
      </c>
      <c r="H184" s="64" t="s">
        <v>952</v>
      </c>
      <c r="I184" s="64" t="s">
        <v>1408</v>
      </c>
      <c r="J184" s="65" t="s">
        <v>1411</v>
      </c>
      <c r="K184" s="614" t="s">
        <v>255</v>
      </c>
    </row>
    <row r="185" spans="1:11" s="311" customFormat="1" ht="15.5">
      <c r="A185" s="611">
        <v>181</v>
      </c>
      <c r="B185" s="65">
        <v>4</v>
      </c>
      <c r="C185" s="75" t="s">
        <v>638</v>
      </c>
      <c r="D185" s="617" t="str">
        <f>IFERROR(VLOOKUP(C185,Foundation!$C$5:$D$427,2,0),"")</f>
        <v>DA+9</v>
      </c>
      <c r="E185" s="1029" t="s">
        <v>405</v>
      </c>
      <c r="F185" s="726">
        <v>45750</v>
      </c>
      <c r="G185" s="726">
        <v>45750</v>
      </c>
      <c r="H185" s="64" t="s">
        <v>952</v>
      </c>
      <c r="I185" s="64" t="s">
        <v>1408</v>
      </c>
      <c r="J185" s="65" t="s">
        <v>1411</v>
      </c>
      <c r="K185" s="614" t="s">
        <v>255</v>
      </c>
    </row>
    <row r="186" spans="1:11" s="311" customFormat="1" ht="15.5">
      <c r="A186" s="611">
        <v>182</v>
      </c>
      <c r="B186" s="65">
        <v>5</v>
      </c>
      <c r="C186" s="75" t="s">
        <v>640</v>
      </c>
      <c r="D186" s="617" t="str">
        <f>IFERROR(VLOOKUP(C186,Foundation!$C$5:$D$427,2,0),"")</f>
        <v>DB1+9</v>
      </c>
      <c r="E186" s="1029" t="s">
        <v>405</v>
      </c>
      <c r="F186" s="726">
        <v>45750</v>
      </c>
      <c r="G186" s="726">
        <v>45750</v>
      </c>
      <c r="H186" s="64" t="s">
        <v>952</v>
      </c>
      <c r="I186" s="64" t="s">
        <v>1408</v>
      </c>
      <c r="J186" s="65" t="s">
        <v>1411</v>
      </c>
      <c r="K186" s="614" t="s">
        <v>255</v>
      </c>
    </row>
    <row r="187" spans="1:11" s="311" customFormat="1" ht="15.5">
      <c r="A187" s="611">
        <v>183</v>
      </c>
      <c r="B187" s="65">
        <v>6</v>
      </c>
      <c r="C187" s="75" t="s">
        <v>75</v>
      </c>
      <c r="D187" s="617" t="str">
        <f>IFERROR(VLOOKUP(C187,Foundation!$C$5:$D$427,2,0),"")</f>
        <v>DB1+9</v>
      </c>
      <c r="E187" s="1029" t="s">
        <v>405</v>
      </c>
      <c r="F187" s="726">
        <v>45750</v>
      </c>
      <c r="G187" s="726">
        <v>45750</v>
      </c>
      <c r="H187" s="64" t="s">
        <v>952</v>
      </c>
      <c r="I187" s="64" t="s">
        <v>1408</v>
      </c>
      <c r="J187" s="65" t="s">
        <v>1411</v>
      </c>
      <c r="K187" s="614" t="s">
        <v>255</v>
      </c>
    </row>
    <row r="188" spans="1:11" s="311" customFormat="1" ht="15.5">
      <c r="A188" s="611">
        <v>184</v>
      </c>
      <c r="B188" s="65">
        <v>7</v>
      </c>
      <c r="C188" s="75" t="s">
        <v>77</v>
      </c>
      <c r="D188" s="617" t="str">
        <f>IFERROR(VLOOKUP(C188,Foundation!$C$5:$D$427,2,0),"")</f>
        <v>DB2+0</v>
      </c>
      <c r="E188" s="1029" t="s">
        <v>405</v>
      </c>
      <c r="F188" s="726">
        <v>45751</v>
      </c>
      <c r="G188" s="726">
        <f t="shared" ref="G188:G219" si="3">F188</f>
        <v>45751</v>
      </c>
      <c r="H188" s="64" t="s">
        <v>952</v>
      </c>
      <c r="I188" s="64" t="s">
        <v>1408</v>
      </c>
      <c r="J188" s="65" t="s">
        <v>1411</v>
      </c>
      <c r="K188" s="614" t="s">
        <v>255</v>
      </c>
    </row>
    <row r="189" spans="1:11" s="311" customFormat="1" ht="15.5">
      <c r="A189" s="611">
        <v>185</v>
      </c>
      <c r="B189" s="65">
        <v>8</v>
      </c>
      <c r="C189" s="75" t="s">
        <v>171</v>
      </c>
      <c r="D189" s="617" t="str">
        <f>IFERROR(VLOOKUP(C189,Foundation!$C$5:$D$427,2,0),"")</f>
        <v>DA+3</v>
      </c>
      <c r="E189" s="1029" t="s">
        <v>405</v>
      </c>
      <c r="F189" s="726">
        <v>45751</v>
      </c>
      <c r="G189" s="726">
        <f t="shared" si="3"/>
        <v>45751</v>
      </c>
      <c r="H189" s="64" t="s">
        <v>952</v>
      </c>
      <c r="I189" s="64" t="s">
        <v>1408</v>
      </c>
      <c r="J189" s="65" t="s">
        <v>1411</v>
      </c>
      <c r="K189" s="614" t="s">
        <v>255</v>
      </c>
    </row>
    <row r="190" spans="1:11" s="311" customFormat="1" ht="15.5">
      <c r="A190" s="611">
        <v>186</v>
      </c>
      <c r="B190" s="65">
        <v>9</v>
      </c>
      <c r="C190" s="75" t="s">
        <v>172</v>
      </c>
      <c r="D190" s="617" t="str">
        <f>IFERROR(VLOOKUP(C190,Foundation!$C$5:$D$427,2,0),"")</f>
        <v>DA+9</v>
      </c>
      <c r="E190" s="1029" t="s">
        <v>405</v>
      </c>
      <c r="F190" s="726">
        <v>45751</v>
      </c>
      <c r="G190" s="726">
        <f t="shared" si="3"/>
        <v>45751</v>
      </c>
      <c r="H190" s="64" t="s">
        <v>952</v>
      </c>
      <c r="I190" s="64" t="s">
        <v>1408</v>
      </c>
      <c r="J190" s="65" t="s">
        <v>1411</v>
      </c>
      <c r="K190" s="614" t="s">
        <v>255</v>
      </c>
    </row>
    <row r="191" spans="1:11" s="311" customFormat="1" ht="15.5">
      <c r="A191" s="611">
        <v>187</v>
      </c>
      <c r="B191" s="65">
        <v>10</v>
      </c>
      <c r="C191" s="75" t="s">
        <v>1790</v>
      </c>
      <c r="D191" s="617" t="str">
        <f>IFERROR(VLOOKUP(C191,Foundation!$C$5:$D$427,2,0),"")</f>
        <v>DB1+9</v>
      </c>
      <c r="E191" s="1029" t="s">
        <v>405</v>
      </c>
      <c r="F191" s="726">
        <v>45751</v>
      </c>
      <c r="G191" s="726">
        <f t="shared" si="3"/>
        <v>45751</v>
      </c>
      <c r="H191" s="64" t="s">
        <v>952</v>
      </c>
      <c r="I191" s="64" t="s">
        <v>1408</v>
      </c>
      <c r="J191" s="65" t="s">
        <v>1411</v>
      </c>
      <c r="K191" s="614" t="s">
        <v>255</v>
      </c>
    </row>
    <row r="192" spans="1:11" s="311" customFormat="1" ht="15.5">
      <c r="A192" s="611">
        <v>188</v>
      </c>
      <c r="B192" s="65">
        <v>11</v>
      </c>
      <c r="C192" s="75" t="s">
        <v>645</v>
      </c>
      <c r="D192" s="617" t="str">
        <f>IFERROR(VLOOKUP(C192,Foundation!$C$5:$D$427,2,0),"")</f>
        <v>DA+6</v>
      </c>
      <c r="E192" s="1029" t="s">
        <v>405</v>
      </c>
      <c r="F192" s="726">
        <v>45752</v>
      </c>
      <c r="G192" s="726">
        <f t="shared" si="3"/>
        <v>45752</v>
      </c>
      <c r="H192" s="64" t="s">
        <v>952</v>
      </c>
      <c r="I192" s="64" t="s">
        <v>1408</v>
      </c>
      <c r="J192" s="65" t="s">
        <v>1411</v>
      </c>
      <c r="K192" s="614" t="s">
        <v>255</v>
      </c>
    </row>
    <row r="193" spans="1:11" s="311" customFormat="1" ht="15.5">
      <c r="A193" s="611">
        <v>189</v>
      </c>
      <c r="B193" s="65">
        <v>12</v>
      </c>
      <c r="C193" s="75" t="s">
        <v>646</v>
      </c>
      <c r="D193" s="617" t="str">
        <f>IFERROR(VLOOKUP(C193,Foundation!$C$5:$D$427,2,0),"")</f>
        <v>DA-1.5</v>
      </c>
      <c r="E193" s="1029" t="s">
        <v>405</v>
      </c>
      <c r="F193" s="726">
        <v>45752</v>
      </c>
      <c r="G193" s="726">
        <f t="shared" si="3"/>
        <v>45752</v>
      </c>
      <c r="H193" s="64" t="s">
        <v>952</v>
      </c>
      <c r="I193" s="64" t="s">
        <v>1408</v>
      </c>
      <c r="J193" s="65" t="s">
        <v>1411</v>
      </c>
      <c r="K193" s="614" t="s">
        <v>255</v>
      </c>
    </row>
    <row r="194" spans="1:11" s="311" customFormat="1" ht="15.5">
      <c r="A194" s="611">
        <v>190</v>
      </c>
      <c r="B194" s="65">
        <v>13</v>
      </c>
      <c r="C194" s="75" t="s">
        <v>647</v>
      </c>
      <c r="D194" s="617" t="str">
        <f>IFERROR(VLOOKUP(C194,Foundation!$C$5:$D$427,2,0),"")</f>
        <v>DA+0</v>
      </c>
      <c r="E194" s="1029" t="s">
        <v>405</v>
      </c>
      <c r="F194" s="726">
        <v>45752</v>
      </c>
      <c r="G194" s="726">
        <f t="shared" si="3"/>
        <v>45752</v>
      </c>
      <c r="H194" s="64" t="s">
        <v>952</v>
      </c>
      <c r="I194" s="64" t="s">
        <v>1408</v>
      </c>
      <c r="J194" s="65" t="s">
        <v>1411</v>
      </c>
      <c r="K194" s="614" t="s">
        <v>255</v>
      </c>
    </row>
    <row r="195" spans="1:11" s="311" customFormat="1" ht="15.5">
      <c r="A195" s="611">
        <v>191</v>
      </c>
      <c r="B195" s="65">
        <v>14</v>
      </c>
      <c r="C195" s="75" t="s">
        <v>649</v>
      </c>
      <c r="D195" s="617" t="str">
        <f>IFERROR(VLOOKUP(C195,Foundation!$C$5:$D$427,2,0),"")</f>
        <v>DA+3</v>
      </c>
      <c r="E195" s="1029" t="s">
        <v>405</v>
      </c>
      <c r="F195" s="726">
        <v>45752</v>
      </c>
      <c r="G195" s="726">
        <f t="shared" si="3"/>
        <v>45752</v>
      </c>
      <c r="H195" s="64" t="s">
        <v>952</v>
      </c>
      <c r="I195" s="64" t="s">
        <v>1408</v>
      </c>
      <c r="J195" s="65" t="s">
        <v>1411</v>
      </c>
      <c r="K195" s="614" t="s">
        <v>255</v>
      </c>
    </row>
    <row r="196" spans="1:11" s="311" customFormat="1" ht="15.5">
      <c r="A196" s="611">
        <v>192</v>
      </c>
      <c r="B196" s="65">
        <v>15</v>
      </c>
      <c r="C196" s="75" t="s">
        <v>650</v>
      </c>
      <c r="D196" s="617" t="str">
        <f>IFERROR(VLOOKUP(C196,Foundation!$C$5:$D$427,2,0),"")</f>
        <v>DA+0</v>
      </c>
      <c r="E196" s="1029" t="s">
        <v>405</v>
      </c>
      <c r="F196" s="726">
        <v>45752</v>
      </c>
      <c r="G196" s="726">
        <f t="shared" si="3"/>
        <v>45752</v>
      </c>
      <c r="H196" s="64" t="s">
        <v>952</v>
      </c>
      <c r="I196" s="64" t="s">
        <v>1408</v>
      </c>
      <c r="J196" s="65" t="s">
        <v>1411</v>
      </c>
      <c r="K196" s="614" t="s">
        <v>255</v>
      </c>
    </row>
    <row r="197" spans="1:11" s="311" customFormat="1" ht="15.5">
      <c r="A197" s="611">
        <v>193</v>
      </c>
      <c r="B197" s="65">
        <v>16</v>
      </c>
      <c r="C197" s="75" t="s">
        <v>651</v>
      </c>
      <c r="D197" s="617" t="str">
        <f>IFERROR(VLOOKUP(C197,Foundation!$C$5:$D$427,2,0),"")</f>
        <v>DA+9</v>
      </c>
      <c r="E197" s="1029" t="s">
        <v>405</v>
      </c>
      <c r="F197" s="726">
        <v>45752</v>
      </c>
      <c r="G197" s="726">
        <f t="shared" si="3"/>
        <v>45752</v>
      </c>
      <c r="H197" s="64" t="s">
        <v>952</v>
      </c>
      <c r="I197" s="64" t="s">
        <v>1408</v>
      </c>
      <c r="J197" s="65" t="s">
        <v>1411</v>
      </c>
      <c r="K197" s="614" t="s">
        <v>255</v>
      </c>
    </row>
    <row r="198" spans="1:11" s="311" customFormat="1" ht="15.5">
      <c r="A198" s="611">
        <v>194</v>
      </c>
      <c r="B198" s="65">
        <v>17</v>
      </c>
      <c r="C198" s="75" t="s">
        <v>1240</v>
      </c>
      <c r="D198" s="617" t="str">
        <f>IFERROR(VLOOKUP(C198,Foundation!$C$5:$D$427,2,0),"")</f>
        <v>DA+3</v>
      </c>
      <c r="E198" s="1029" t="s">
        <v>405</v>
      </c>
      <c r="F198" s="726">
        <v>45753</v>
      </c>
      <c r="G198" s="726">
        <f t="shared" si="3"/>
        <v>45753</v>
      </c>
      <c r="H198" s="64" t="s">
        <v>952</v>
      </c>
      <c r="I198" s="64" t="s">
        <v>1408</v>
      </c>
      <c r="J198" s="65" t="s">
        <v>1411</v>
      </c>
      <c r="K198" s="614" t="s">
        <v>255</v>
      </c>
    </row>
    <row r="199" spans="1:11" s="311" customFormat="1" ht="15.5">
      <c r="A199" s="611">
        <v>195</v>
      </c>
      <c r="B199" s="65">
        <v>18</v>
      </c>
      <c r="C199" s="75" t="s">
        <v>1242</v>
      </c>
      <c r="D199" s="617" t="str">
        <f>IFERROR(VLOOKUP(C199,Foundation!$C$5:$D$427,2,0),"")</f>
        <v>DA+3</v>
      </c>
      <c r="E199" s="1029" t="s">
        <v>405</v>
      </c>
      <c r="F199" s="726">
        <v>45753</v>
      </c>
      <c r="G199" s="726">
        <f t="shared" si="3"/>
        <v>45753</v>
      </c>
      <c r="H199" s="64" t="s">
        <v>952</v>
      </c>
      <c r="I199" s="64" t="s">
        <v>1408</v>
      </c>
      <c r="J199" s="65" t="s">
        <v>1411</v>
      </c>
      <c r="K199" s="614" t="s">
        <v>255</v>
      </c>
    </row>
    <row r="200" spans="1:11" s="311" customFormat="1" ht="15.5">
      <c r="A200" s="611">
        <v>196</v>
      </c>
      <c r="B200" s="65">
        <v>19</v>
      </c>
      <c r="C200" s="75" t="s">
        <v>1243</v>
      </c>
      <c r="D200" s="617" t="str">
        <f>IFERROR(VLOOKUP(C200,Foundation!$C$5:$D$427,2,0),"")</f>
        <v>DA+3</v>
      </c>
      <c r="E200" s="1029" t="s">
        <v>405</v>
      </c>
      <c r="F200" s="726">
        <v>45753</v>
      </c>
      <c r="G200" s="726">
        <f t="shared" si="3"/>
        <v>45753</v>
      </c>
      <c r="H200" s="64" t="s">
        <v>952</v>
      </c>
      <c r="I200" s="64" t="s">
        <v>1408</v>
      </c>
      <c r="J200" s="65" t="s">
        <v>1411</v>
      </c>
      <c r="K200" s="614" t="s">
        <v>255</v>
      </c>
    </row>
    <row r="201" spans="1:11" s="311" customFormat="1" ht="15.5">
      <c r="A201" s="628">
        <v>197</v>
      </c>
      <c r="B201" s="628">
        <v>20</v>
      </c>
      <c r="C201" s="990" t="s">
        <v>1244</v>
      </c>
      <c r="D201" s="1028" t="str">
        <f>IFERROR(VLOOKUP(C201,Foundation!$C$5:$D$427,2,0),"")</f>
        <v>DA+0</v>
      </c>
      <c r="E201" s="1030" t="s">
        <v>405</v>
      </c>
      <c r="F201" s="1024">
        <v>45753</v>
      </c>
      <c r="G201" s="1024">
        <f t="shared" si="3"/>
        <v>45753</v>
      </c>
      <c r="H201" s="672" t="s">
        <v>952</v>
      </c>
      <c r="I201" s="672" t="s">
        <v>1408</v>
      </c>
      <c r="J201" s="628" t="s">
        <v>1411</v>
      </c>
      <c r="K201" s="672" t="s">
        <v>255</v>
      </c>
    </row>
    <row r="202" spans="1:11" s="311" customFormat="1" ht="15.5">
      <c r="A202" s="611">
        <v>198</v>
      </c>
      <c r="B202" s="65">
        <v>21</v>
      </c>
      <c r="C202" s="75" t="s">
        <v>1245</v>
      </c>
      <c r="D202" s="617" t="str">
        <f>IFERROR(VLOOKUP(C202,Foundation!$C$5:$D$427,2,0),"")</f>
        <v>DA+0</v>
      </c>
      <c r="E202" s="1029" t="s">
        <v>405</v>
      </c>
      <c r="F202" s="726">
        <v>45753</v>
      </c>
      <c r="G202" s="726">
        <f t="shared" si="3"/>
        <v>45753</v>
      </c>
      <c r="H202" s="64" t="s">
        <v>952</v>
      </c>
      <c r="I202" s="64" t="s">
        <v>1408</v>
      </c>
      <c r="J202" s="65" t="s">
        <v>1411</v>
      </c>
      <c r="K202" s="614" t="s">
        <v>255</v>
      </c>
    </row>
    <row r="203" spans="1:11" s="311" customFormat="1" ht="15.5">
      <c r="A203" s="611">
        <v>199</v>
      </c>
      <c r="B203" s="65">
        <v>22</v>
      </c>
      <c r="C203" s="75" t="s">
        <v>627</v>
      </c>
      <c r="D203" s="617" t="str">
        <f>IFERROR(VLOOKUP(C203,Foundation!$C$5:$D$427,2,0),"")</f>
        <v>DA+1.5</v>
      </c>
      <c r="E203" s="1029" t="s">
        <v>405</v>
      </c>
      <c r="F203" s="726">
        <v>45754</v>
      </c>
      <c r="G203" s="726">
        <f t="shared" si="3"/>
        <v>45754</v>
      </c>
      <c r="H203" s="64" t="s">
        <v>952</v>
      </c>
      <c r="I203" s="64" t="s">
        <v>1408</v>
      </c>
      <c r="J203" s="65" t="s">
        <v>1411</v>
      </c>
      <c r="K203" s="614" t="s">
        <v>255</v>
      </c>
    </row>
    <row r="204" spans="1:11" s="311" customFormat="1" ht="15.5">
      <c r="A204" s="611">
        <v>200</v>
      </c>
      <c r="B204" s="65">
        <v>23</v>
      </c>
      <c r="C204" s="75" t="s">
        <v>611</v>
      </c>
      <c r="D204" s="617" t="str">
        <f>IFERROR(VLOOKUP(C204,Foundation!$C$5:$D$427,2,0),"")</f>
        <v>DA+3</v>
      </c>
      <c r="E204" s="1029" t="s">
        <v>405</v>
      </c>
      <c r="F204" s="726">
        <v>45754</v>
      </c>
      <c r="G204" s="726">
        <f t="shared" si="3"/>
        <v>45754</v>
      </c>
      <c r="H204" s="64" t="s">
        <v>952</v>
      </c>
      <c r="I204" s="64" t="s">
        <v>1408</v>
      </c>
      <c r="J204" s="65" t="s">
        <v>1411</v>
      </c>
      <c r="K204" s="614" t="s">
        <v>255</v>
      </c>
    </row>
    <row r="205" spans="1:11" s="311" customFormat="1" ht="15.5">
      <c r="A205" s="611">
        <v>201</v>
      </c>
      <c r="B205" s="65">
        <v>24</v>
      </c>
      <c r="C205" s="729" t="s">
        <v>612</v>
      </c>
      <c r="D205" s="617" t="str">
        <f>IFERROR(VLOOKUP(C205,Foundation!$C$5:$D$427,2,0),"")</f>
        <v>DA+1.5</v>
      </c>
      <c r="E205" s="1029" t="s">
        <v>405</v>
      </c>
      <c r="F205" s="726">
        <v>45754</v>
      </c>
      <c r="G205" s="726">
        <f t="shared" si="3"/>
        <v>45754</v>
      </c>
      <c r="H205" s="64" t="s">
        <v>952</v>
      </c>
      <c r="I205" s="64" t="s">
        <v>1408</v>
      </c>
      <c r="J205" s="65" t="s">
        <v>1411</v>
      </c>
      <c r="K205" s="614" t="s">
        <v>255</v>
      </c>
    </row>
    <row r="206" spans="1:11" s="311" customFormat="1" ht="15.5">
      <c r="A206" s="628">
        <v>202</v>
      </c>
      <c r="B206" s="628">
        <v>25</v>
      </c>
      <c r="C206" s="990" t="s">
        <v>372</v>
      </c>
      <c r="D206" s="1028" t="str">
        <f>IFERROR(VLOOKUP(C206,Foundation!$C$5:$D$427,2,0),"")</f>
        <v>DA+3</v>
      </c>
      <c r="E206" s="1030" t="s">
        <v>405</v>
      </c>
      <c r="F206" s="1024">
        <v>45755</v>
      </c>
      <c r="G206" s="1024">
        <f t="shared" si="3"/>
        <v>45755</v>
      </c>
      <c r="H206" s="672" t="s">
        <v>952</v>
      </c>
      <c r="I206" s="672" t="s">
        <v>1408</v>
      </c>
      <c r="J206" s="628" t="s">
        <v>1411</v>
      </c>
      <c r="K206" s="672" t="s">
        <v>255</v>
      </c>
    </row>
    <row r="207" spans="1:11" s="311" customFormat="1" ht="15.5">
      <c r="A207" s="628">
        <v>203</v>
      </c>
      <c r="B207" s="628">
        <v>26</v>
      </c>
      <c r="C207" s="990" t="s">
        <v>408</v>
      </c>
      <c r="D207" s="1028" t="str">
        <f>IFERROR(VLOOKUP(C207,Foundation!$C$5:$D$427,2,0),"")</f>
        <v>DA+9</v>
      </c>
      <c r="E207" s="1030" t="s">
        <v>405</v>
      </c>
      <c r="F207" s="1024">
        <v>45755</v>
      </c>
      <c r="G207" s="1024">
        <f t="shared" si="3"/>
        <v>45755</v>
      </c>
      <c r="H207" s="672" t="s">
        <v>952</v>
      </c>
      <c r="I207" s="672" t="s">
        <v>1408</v>
      </c>
      <c r="J207" s="628" t="s">
        <v>1411</v>
      </c>
      <c r="K207" s="672" t="s">
        <v>255</v>
      </c>
    </row>
    <row r="208" spans="1:11" s="311" customFormat="1" ht="15.5">
      <c r="A208" s="628">
        <v>204</v>
      </c>
      <c r="B208" s="628">
        <v>27</v>
      </c>
      <c r="C208" s="990" t="s">
        <v>409</v>
      </c>
      <c r="D208" s="1028" t="str">
        <f>IFERROR(VLOOKUP(C208,Foundation!$C$5:$D$427,2,0),"")</f>
        <v>DA+0</v>
      </c>
      <c r="E208" s="1030" t="s">
        <v>405</v>
      </c>
      <c r="F208" s="1024">
        <v>45755</v>
      </c>
      <c r="G208" s="1024">
        <f t="shared" si="3"/>
        <v>45755</v>
      </c>
      <c r="H208" s="672" t="s">
        <v>952</v>
      </c>
      <c r="I208" s="672" t="s">
        <v>1408</v>
      </c>
      <c r="J208" s="628" t="s">
        <v>1411</v>
      </c>
      <c r="K208" s="672" t="s">
        <v>255</v>
      </c>
    </row>
    <row r="209" spans="1:11" s="311" customFormat="1" ht="15.5">
      <c r="A209" s="628">
        <v>205</v>
      </c>
      <c r="B209" s="628">
        <v>28</v>
      </c>
      <c r="C209" s="990" t="s">
        <v>264</v>
      </c>
      <c r="D209" s="1028" t="str">
        <f>IFERROR(VLOOKUP(C209,Foundation!$C$5:$D$427,2,0),"")</f>
        <v>DB1+6</v>
      </c>
      <c r="E209" s="1030" t="s">
        <v>405</v>
      </c>
      <c r="F209" s="1024">
        <v>45756</v>
      </c>
      <c r="G209" s="1024">
        <f t="shared" si="3"/>
        <v>45756</v>
      </c>
      <c r="H209" s="672" t="s">
        <v>952</v>
      </c>
      <c r="I209" s="672" t="s">
        <v>995</v>
      </c>
      <c r="J209" s="628" t="s">
        <v>1411</v>
      </c>
      <c r="K209" s="672" t="s">
        <v>255</v>
      </c>
    </row>
    <row r="210" spans="1:11" s="311" customFormat="1" ht="15.5">
      <c r="A210" s="628">
        <v>206</v>
      </c>
      <c r="B210" s="628">
        <v>29</v>
      </c>
      <c r="C210" s="990" t="s">
        <v>410</v>
      </c>
      <c r="D210" s="1028" t="str">
        <f>IFERROR(VLOOKUP(C210,Foundation!$C$5:$D$427,2,0),"")</f>
        <v>DA+0</v>
      </c>
      <c r="E210" s="1030" t="s">
        <v>405</v>
      </c>
      <c r="F210" s="1024">
        <v>45756</v>
      </c>
      <c r="G210" s="1024">
        <f t="shared" si="3"/>
        <v>45756</v>
      </c>
      <c r="H210" s="672" t="s">
        <v>952</v>
      </c>
      <c r="I210" s="672" t="s">
        <v>995</v>
      </c>
      <c r="J210" s="628" t="s">
        <v>1411</v>
      </c>
      <c r="K210" s="672" t="s">
        <v>255</v>
      </c>
    </row>
    <row r="211" spans="1:11" s="311" customFormat="1" ht="15.5">
      <c r="A211" s="628">
        <v>207</v>
      </c>
      <c r="B211" s="628">
        <v>30</v>
      </c>
      <c r="C211" s="990" t="s">
        <v>413</v>
      </c>
      <c r="D211" s="1028" t="str">
        <f>IFERROR(VLOOKUP(C211,Foundation!$C$5:$D$427,2,0),"")</f>
        <v>DA+3</v>
      </c>
      <c r="E211" s="1030" t="s">
        <v>405</v>
      </c>
      <c r="F211" s="1024">
        <v>45756</v>
      </c>
      <c r="G211" s="1024">
        <f t="shared" si="3"/>
        <v>45756</v>
      </c>
      <c r="H211" s="672" t="s">
        <v>952</v>
      </c>
      <c r="I211" s="672" t="s">
        <v>995</v>
      </c>
      <c r="J211" s="628" t="s">
        <v>1411</v>
      </c>
      <c r="K211" s="672" t="s">
        <v>255</v>
      </c>
    </row>
    <row r="212" spans="1:11" s="311" customFormat="1" ht="15.5">
      <c r="A212" s="611">
        <v>208</v>
      </c>
      <c r="B212" s="65">
        <v>31</v>
      </c>
      <c r="C212" s="75" t="s">
        <v>262</v>
      </c>
      <c r="D212" s="617" t="str">
        <f>IFERROR(VLOOKUP(C212,Foundation!$C$5:$D$427,2,0),"")</f>
        <v>DB1+0</v>
      </c>
      <c r="E212" s="1029" t="s">
        <v>405</v>
      </c>
      <c r="F212" s="726">
        <v>45757</v>
      </c>
      <c r="G212" s="726">
        <f t="shared" si="3"/>
        <v>45757</v>
      </c>
      <c r="H212" s="64" t="s">
        <v>1179</v>
      </c>
      <c r="I212" s="64" t="s">
        <v>1430</v>
      </c>
      <c r="J212" s="65" t="s">
        <v>1411</v>
      </c>
      <c r="K212" s="614" t="s">
        <v>255</v>
      </c>
    </row>
    <row r="213" spans="1:11" s="311" customFormat="1" ht="15.5">
      <c r="A213" s="611">
        <v>209</v>
      </c>
      <c r="B213" s="65">
        <v>32</v>
      </c>
      <c r="C213" s="729" t="s">
        <v>394</v>
      </c>
      <c r="D213" s="617" t="str">
        <f>IFERROR(VLOOKUP(C213,Foundation!$C$5:$D$427,2,0),"")</f>
        <v>DA+9</v>
      </c>
      <c r="E213" s="1029" t="s">
        <v>405</v>
      </c>
      <c r="F213" s="726">
        <v>45757</v>
      </c>
      <c r="G213" s="726">
        <f t="shared" si="3"/>
        <v>45757</v>
      </c>
      <c r="H213" s="64" t="s">
        <v>1179</v>
      </c>
      <c r="I213" s="64" t="s">
        <v>1430</v>
      </c>
      <c r="J213" s="65" t="s">
        <v>1411</v>
      </c>
      <c r="K213" s="614" t="s">
        <v>255</v>
      </c>
    </row>
    <row r="214" spans="1:11" s="311" customFormat="1" ht="15.5">
      <c r="A214" s="611">
        <v>210</v>
      </c>
      <c r="B214" s="65">
        <v>33</v>
      </c>
      <c r="C214" s="729" t="s">
        <v>395</v>
      </c>
      <c r="D214" s="617" t="str">
        <f>IFERROR(VLOOKUP(C214,Foundation!$C$5:$D$427,2,0),"")</f>
        <v>DA+6</v>
      </c>
      <c r="E214" s="1029" t="s">
        <v>405</v>
      </c>
      <c r="F214" s="726">
        <v>45757</v>
      </c>
      <c r="G214" s="726">
        <f t="shared" si="3"/>
        <v>45757</v>
      </c>
      <c r="H214" s="64" t="s">
        <v>1179</v>
      </c>
      <c r="I214" s="64" t="s">
        <v>1430</v>
      </c>
      <c r="J214" s="65" t="s">
        <v>1411</v>
      </c>
      <c r="K214" s="614" t="s">
        <v>255</v>
      </c>
    </row>
    <row r="215" spans="1:11" s="311" customFormat="1" ht="15.5">
      <c r="A215" s="611">
        <v>211</v>
      </c>
      <c r="B215" s="65">
        <v>34</v>
      </c>
      <c r="C215" s="729" t="s">
        <v>493</v>
      </c>
      <c r="D215" s="617" t="str">
        <f>IFERROR(VLOOKUP(C215,Foundation!$C$5:$D$427,2,0),"")</f>
        <v>DB1+6</v>
      </c>
      <c r="E215" s="1029" t="s">
        <v>405</v>
      </c>
      <c r="F215" s="726">
        <v>45758</v>
      </c>
      <c r="G215" s="726">
        <f t="shared" si="3"/>
        <v>45758</v>
      </c>
      <c r="H215" s="64" t="s">
        <v>1179</v>
      </c>
      <c r="I215" s="64" t="s">
        <v>1430</v>
      </c>
      <c r="J215" s="65" t="s">
        <v>1411</v>
      </c>
      <c r="K215" s="614" t="s">
        <v>255</v>
      </c>
    </row>
    <row r="216" spans="1:11" s="311" customFormat="1" ht="15.5">
      <c r="A216" s="611">
        <v>212</v>
      </c>
      <c r="B216" s="65">
        <v>35</v>
      </c>
      <c r="C216" s="729" t="s">
        <v>474</v>
      </c>
      <c r="D216" s="617" t="str">
        <f>IFERROR(VLOOKUP(C216,Foundation!$C$5:$D$427,2,0),"")</f>
        <v>DA+3</v>
      </c>
      <c r="E216" s="1029" t="s">
        <v>405</v>
      </c>
      <c r="F216" s="726">
        <v>45758</v>
      </c>
      <c r="G216" s="726">
        <f t="shared" si="3"/>
        <v>45758</v>
      </c>
      <c r="H216" s="64" t="s">
        <v>1179</v>
      </c>
      <c r="I216" s="64" t="s">
        <v>1430</v>
      </c>
      <c r="J216" s="65" t="s">
        <v>1411</v>
      </c>
      <c r="K216" s="614" t="s">
        <v>255</v>
      </c>
    </row>
    <row r="217" spans="1:11" s="311" customFormat="1" ht="15.5">
      <c r="A217" s="611">
        <v>213</v>
      </c>
      <c r="B217" s="65">
        <v>36</v>
      </c>
      <c r="C217" s="729" t="s">
        <v>586</v>
      </c>
      <c r="D217" s="617" t="str">
        <f>IFERROR(VLOOKUP(C217,Foundation!$C$5:$D$427,2,0),"")</f>
        <v>DA-3</v>
      </c>
      <c r="E217" s="1029" t="s">
        <v>405</v>
      </c>
      <c r="F217" s="726">
        <v>45758</v>
      </c>
      <c r="G217" s="726">
        <f t="shared" si="3"/>
        <v>45758</v>
      </c>
      <c r="H217" s="64" t="s">
        <v>952</v>
      </c>
      <c r="I217" s="64" t="s">
        <v>662</v>
      </c>
      <c r="J217" s="65" t="s">
        <v>1411</v>
      </c>
      <c r="K217" s="614" t="s">
        <v>255</v>
      </c>
    </row>
    <row r="218" spans="1:11" s="311" customFormat="1" ht="15.5">
      <c r="A218" s="611">
        <v>214</v>
      </c>
      <c r="B218" s="65">
        <v>37</v>
      </c>
      <c r="C218" s="729" t="s">
        <v>68</v>
      </c>
      <c r="D218" s="617" t="str">
        <f>IFERROR(VLOOKUP(C218,Foundation!$C$5:$D$427,2,0),"")</f>
        <v>DA+9</v>
      </c>
      <c r="E218" s="1029" t="s">
        <v>405</v>
      </c>
      <c r="F218" s="726">
        <v>45758</v>
      </c>
      <c r="G218" s="726">
        <f t="shared" si="3"/>
        <v>45758</v>
      </c>
      <c r="H218" s="64" t="s">
        <v>952</v>
      </c>
      <c r="I218" s="64" t="s">
        <v>662</v>
      </c>
      <c r="J218" s="65" t="s">
        <v>1411</v>
      </c>
      <c r="K218" s="614" t="s">
        <v>255</v>
      </c>
    </row>
    <row r="219" spans="1:11" s="311" customFormat="1" ht="15.5">
      <c r="A219" s="611">
        <v>215</v>
      </c>
      <c r="B219" s="65">
        <v>38</v>
      </c>
      <c r="C219" s="729" t="s">
        <v>69</v>
      </c>
      <c r="D219" s="617" t="str">
        <f>IFERROR(VLOOKUP(C219,Foundation!$C$5:$D$427,2,0),"")</f>
        <v>DA+9</v>
      </c>
      <c r="E219" s="1029" t="s">
        <v>405</v>
      </c>
      <c r="F219" s="726">
        <v>45758</v>
      </c>
      <c r="G219" s="726">
        <f t="shared" si="3"/>
        <v>45758</v>
      </c>
      <c r="H219" s="64" t="s">
        <v>952</v>
      </c>
      <c r="I219" s="64" t="s">
        <v>662</v>
      </c>
      <c r="J219" s="65" t="s">
        <v>1411</v>
      </c>
      <c r="K219" s="614" t="s">
        <v>255</v>
      </c>
    </row>
    <row r="220" spans="1:11" s="311" customFormat="1" ht="15.5">
      <c r="A220" s="611">
        <v>216</v>
      </c>
      <c r="B220" s="65">
        <v>39</v>
      </c>
      <c r="C220" s="729" t="s">
        <v>67</v>
      </c>
      <c r="D220" s="617" t="str">
        <f>IFERROR(VLOOKUP(C220,Foundation!$C$5:$D$427,2,0),"")</f>
        <v>DB1+9</v>
      </c>
      <c r="E220" s="1029" t="s">
        <v>405</v>
      </c>
      <c r="F220" s="726">
        <v>45759</v>
      </c>
      <c r="G220" s="726">
        <f t="shared" ref="G220:G251" si="4">F220</f>
        <v>45759</v>
      </c>
      <c r="H220" s="64" t="s">
        <v>952</v>
      </c>
      <c r="I220" s="64" t="s">
        <v>662</v>
      </c>
      <c r="J220" s="65" t="s">
        <v>1411</v>
      </c>
      <c r="K220" s="614" t="s">
        <v>255</v>
      </c>
    </row>
    <row r="221" spans="1:11" s="311" customFormat="1" ht="15.5">
      <c r="A221" s="611">
        <v>217</v>
      </c>
      <c r="B221" s="65">
        <v>40</v>
      </c>
      <c r="C221" s="729" t="s">
        <v>877</v>
      </c>
      <c r="D221" s="617" t="str">
        <f>IFERROR(VLOOKUP(C221,Foundation!$C$5:$D$427,2,0),"")</f>
        <v>DA+9</v>
      </c>
      <c r="E221" s="1029" t="s">
        <v>405</v>
      </c>
      <c r="F221" s="726">
        <v>45759</v>
      </c>
      <c r="G221" s="726">
        <f t="shared" si="4"/>
        <v>45759</v>
      </c>
      <c r="H221" s="64" t="s">
        <v>952</v>
      </c>
      <c r="I221" s="64" t="s">
        <v>662</v>
      </c>
      <c r="J221" s="65" t="s">
        <v>1411</v>
      </c>
      <c r="K221" s="614" t="s">
        <v>255</v>
      </c>
    </row>
    <row r="222" spans="1:11" s="311" customFormat="1" ht="15.5">
      <c r="A222" s="611">
        <v>218</v>
      </c>
      <c r="B222" s="65">
        <v>41</v>
      </c>
      <c r="C222" s="729" t="s">
        <v>878</v>
      </c>
      <c r="D222" s="617" t="str">
        <f>IFERROR(VLOOKUP(C222,Foundation!$C$5:$D$427,2,0),"")</f>
        <v>DA+9</v>
      </c>
      <c r="E222" s="1029" t="s">
        <v>405</v>
      </c>
      <c r="F222" s="726">
        <v>45759</v>
      </c>
      <c r="G222" s="726">
        <f t="shared" si="4"/>
        <v>45759</v>
      </c>
      <c r="H222" s="64" t="s">
        <v>952</v>
      </c>
      <c r="I222" s="64" t="s">
        <v>662</v>
      </c>
      <c r="J222" s="65" t="s">
        <v>1411</v>
      </c>
      <c r="K222" s="614" t="s">
        <v>255</v>
      </c>
    </row>
    <row r="223" spans="1:11" s="311" customFormat="1" ht="15.5">
      <c r="A223" s="611">
        <v>219</v>
      </c>
      <c r="B223" s="65">
        <v>42</v>
      </c>
      <c r="C223" s="729" t="s">
        <v>879</v>
      </c>
      <c r="D223" s="617" t="str">
        <f>IFERROR(VLOOKUP(C223,Foundation!$C$5:$D$427,2,0),"")</f>
        <v>DA+3</v>
      </c>
      <c r="E223" s="1029" t="s">
        <v>405</v>
      </c>
      <c r="F223" s="726">
        <v>45759</v>
      </c>
      <c r="G223" s="726">
        <f t="shared" si="4"/>
        <v>45759</v>
      </c>
      <c r="H223" s="64" t="s">
        <v>952</v>
      </c>
      <c r="I223" s="64" t="s">
        <v>662</v>
      </c>
      <c r="J223" s="65" t="s">
        <v>1411</v>
      </c>
      <c r="K223" s="614" t="s">
        <v>255</v>
      </c>
    </row>
    <row r="224" spans="1:11" s="311" customFormat="1" ht="15.5">
      <c r="A224" s="611">
        <v>220</v>
      </c>
      <c r="B224" s="65">
        <v>43</v>
      </c>
      <c r="C224" s="729" t="s">
        <v>471</v>
      </c>
      <c r="D224" s="617" t="str">
        <f>IFERROR(VLOOKUP(C224,Foundation!$C$5:$D$427,2,0),"")</f>
        <v>DA+9</v>
      </c>
      <c r="E224" s="1029" t="s">
        <v>405</v>
      </c>
      <c r="F224" s="726">
        <v>45759</v>
      </c>
      <c r="G224" s="726">
        <f t="shared" si="4"/>
        <v>45759</v>
      </c>
      <c r="H224" s="64" t="s">
        <v>1179</v>
      </c>
      <c r="I224" s="64" t="s">
        <v>1430</v>
      </c>
      <c r="J224" s="65" t="s">
        <v>1433</v>
      </c>
      <c r="K224" s="614" t="s">
        <v>255</v>
      </c>
    </row>
    <row r="225" spans="1:11" s="311" customFormat="1" ht="15.5">
      <c r="A225" s="611">
        <v>221</v>
      </c>
      <c r="B225" s="65">
        <v>44</v>
      </c>
      <c r="C225" s="729" t="s">
        <v>463</v>
      </c>
      <c r="D225" s="617" t="str">
        <f>IFERROR(VLOOKUP(C225,Foundation!$C$5:$D$427,2,0),"")</f>
        <v>DA+6</v>
      </c>
      <c r="E225" s="1029" t="s">
        <v>405</v>
      </c>
      <c r="F225" s="726">
        <v>45759</v>
      </c>
      <c r="G225" s="726">
        <f t="shared" si="4"/>
        <v>45759</v>
      </c>
      <c r="H225" s="64" t="s">
        <v>1179</v>
      </c>
      <c r="I225" s="64" t="s">
        <v>1430</v>
      </c>
      <c r="J225" s="65" t="s">
        <v>1434</v>
      </c>
      <c r="K225" s="614" t="s">
        <v>255</v>
      </c>
    </row>
    <row r="226" spans="1:11" s="311" customFormat="1" ht="15.5">
      <c r="A226" s="611">
        <v>222</v>
      </c>
      <c r="B226" s="65">
        <v>45</v>
      </c>
      <c r="C226" s="729" t="s">
        <v>674</v>
      </c>
      <c r="D226" s="617" t="str">
        <f>IFERROR(VLOOKUP(C226,Foundation!$C$5:$D$427,2,0),"")</f>
        <v>DB1+12</v>
      </c>
      <c r="E226" s="1029" t="s">
        <v>405</v>
      </c>
      <c r="F226" s="726">
        <v>45759</v>
      </c>
      <c r="G226" s="726">
        <f t="shared" si="4"/>
        <v>45759</v>
      </c>
      <c r="H226" s="64" t="s">
        <v>1179</v>
      </c>
      <c r="I226" s="64" t="s">
        <v>1430</v>
      </c>
      <c r="J226" s="65" t="s">
        <v>1435</v>
      </c>
      <c r="K226" s="614" t="s">
        <v>255</v>
      </c>
    </row>
    <row r="227" spans="1:11" ht="15.5">
      <c r="A227" s="611">
        <v>223</v>
      </c>
      <c r="B227" s="3">
        <v>46</v>
      </c>
      <c r="C227" s="729" t="s">
        <v>776</v>
      </c>
      <c r="D227" s="617" t="str">
        <f>IFERROR(VLOOKUP(C227,Foundation!$C$5:$D$427,2,0),"")</f>
        <v>DA+6</v>
      </c>
      <c r="E227" s="1029" t="s">
        <v>405</v>
      </c>
      <c r="F227" s="38">
        <v>45760</v>
      </c>
      <c r="G227" s="726">
        <f t="shared" si="4"/>
        <v>45760</v>
      </c>
      <c r="H227" s="64" t="s">
        <v>952</v>
      </c>
      <c r="I227" s="64" t="s">
        <v>662</v>
      </c>
      <c r="J227" s="65" t="s">
        <v>1411</v>
      </c>
      <c r="K227" s="614" t="s">
        <v>255</v>
      </c>
    </row>
    <row r="228" spans="1:11" ht="15.5">
      <c r="A228" s="611">
        <v>224</v>
      </c>
      <c r="B228" s="3">
        <v>47</v>
      </c>
      <c r="C228" s="729" t="s">
        <v>900</v>
      </c>
      <c r="D228" s="617" t="str">
        <f>IFERROR(VLOOKUP(C228,Foundation!$C$5:$D$427,2,0),"")</f>
        <v>DB1+0</v>
      </c>
      <c r="E228" s="1029" t="s">
        <v>405</v>
      </c>
      <c r="F228" s="38">
        <v>45760</v>
      </c>
      <c r="G228" s="726">
        <f t="shared" si="4"/>
        <v>45760</v>
      </c>
      <c r="H228" s="64" t="s">
        <v>952</v>
      </c>
      <c r="I228" s="64" t="s">
        <v>662</v>
      </c>
      <c r="J228" s="65" t="s">
        <v>1411</v>
      </c>
      <c r="K228" s="614" t="s">
        <v>255</v>
      </c>
    </row>
    <row r="229" spans="1:11" ht="15.5">
      <c r="A229" s="611">
        <v>225</v>
      </c>
      <c r="B229" s="3">
        <v>48</v>
      </c>
      <c r="C229" s="729" t="s">
        <v>433</v>
      </c>
      <c r="D229" s="617" t="str">
        <f>IFERROR(VLOOKUP(C229,Foundation!$C$5:$D$427,2,0),"")</f>
        <v>DA+0</v>
      </c>
      <c r="E229" s="1029" t="s">
        <v>405</v>
      </c>
      <c r="F229" s="38">
        <v>45760</v>
      </c>
      <c r="G229" s="726">
        <f t="shared" si="4"/>
        <v>45760</v>
      </c>
      <c r="H229" s="64" t="s">
        <v>952</v>
      </c>
      <c r="I229" s="64" t="s">
        <v>662</v>
      </c>
      <c r="J229" s="65" t="s">
        <v>1411</v>
      </c>
      <c r="K229" s="614" t="s">
        <v>255</v>
      </c>
    </row>
    <row r="230" spans="1:11" ht="15.5">
      <c r="A230" s="611">
        <v>226</v>
      </c>
      <c r="B230" s="3">
        <v>49</v>
      </c>
      <c r="C230" s="729" t="s">
        <v>775</v>
      </c>
      <c r="D230" s="617" t="str">
        <f>IFERROR(VLOOKUP(C230,Foundation!$C$5:$D$427,2,0),"")</f>
        <v>DB1+9</v>
      </c>
      <c r="E230" s="1029" t="s">
        <v>405</v>
      </c>
      <c r="F230" s="38">
        <v>45761</v>
      </c>
      <c r="G230" s="726">
        <f t="shared" si="4"/>
        <v>45761</v>
      </c>
      <c r="H230" s="64" t="s">
        <v>952</v>
      </c>
      <c r="I230" s="64" t="s">
        <v>662</v>
      </c>
      <c r="J230" s="65" t="s">
        <v>1411</v>
      </c>
      <c r="K230" s="614" t="s">
        <v>255</v>
      </c>
    </row>
    <row r="231" spans="1:11" ht="15.5">
      <c r="A231" s="611">
        <v>227</v>
      </c>
      <c r="B231" s="3">
        <v>50</v>
      </c>
      <c r="C231" s="729" t="s">
        <v>64</v>
      </c>
      <c r="D231" s="617" t="str">
        <f>IFERROR(VLOOKUP(C231,Foundation!$C$5:$D$427,2,0),"")</f>
        <v>DC1+0</v>
      </c>
      <c r="E231" s="1029" t="s">
        <v>405</v>
      </c>
      <c r="F231" s="38">
        <v>45761</v>
      </c>
      <c r="G231" s="726">
        <f t="shared" si="4"/>
        <v>45761</v>
      </c>
      <c r="H231" s="64" t="s">
        <v>952</v>
      </c>
      <c r="I231" s="64" t="s">
        <v>662</v>
      </c>
      <c r="J231" s="65" t="s">
        <v>1411</v>
      </c>
      <c r="K231" s="614" t="s">
        <v>255</v>
      </c>
    </row>
    <row r="232" spans="1:11" ht="15.5">
      <c r="A232" s="611">
        <v>228</v>
      </c>
      <c r="B232" s="3">
        <v>51</v>
      </c>
      <c r="C232" s="729" t="s">
        <v>63</v>
      </c>
      <c r="D232" s="617" t="str">
        <f>IFERROR(VLOOKUP(C232,Foundation!$C$5:$D$427,2,0),"")</f>
        <v>DC2-3</v>
      </c>
      <c r="E232" s="1029" t="s">
        <v>405</v>
      </c>
      <c r="F232" s="38">
        <v>45761</v>
      </c>
      <c r="G232" s="726">
        <f t="shared" si="4"/>
        <v>45761</v>
      </c>
      <c r="H232" s="64" t="s">
        <v>952</v>
      </c>
      <c r="I232" s="64" t="s">
        <v>662</v>
      </c>
      <c r="J232" s="65" t="s">
        <v>1411</v>
      </c>
      <c r="K232" s="614" t="s">
        <v>255</v>
      </c>
    </row>
    <row r="233" spans="1:11" ht="15.5">
      <c r="A233" s="611">
        <v>229</v>
      </c>
      <c r="B233" s="3">
        <v>52</v>
      </c>
      <c r="C233" s="729" t="s">
        <v>60</v>
      </c>
      <c r="D233" s="617" t="str">
        <f>IFERROR(VLOOKUP(C233,Foundation!$C$5:$D$427,2,0),"")</f>
        <v>DD60+35</v>
      </c>
      <c r="E233" s="1029" t="s">
        <v>405</v>
      </c>
      <c r="F233" s="38">
        <v>45761</v>
      </c>
      <c r="G233" s="726">
        <f t="shared" si="4"/>
        <v>45761</v>
      </c>
      <c r="H233" s="64" t="s">
        <v>952</v>
      </c>
      <c r="I233" s="64" t="s">
        <v>662</v>
      </c>
      <c r="J233" s="65" t="s">
        <v>1411</v>
      </c>
      <c r="K233" s="614" t="s">
        <v>255</v>
      </c>
    </row>
    <row r="234" spans="1:11" ht="15.5">
      <c r="A234" s="611">
        <v>230</v>
      </c>
      <c r="B234" s="3">
        <v>53</v>
      </c>
      <c r="C234" s="729" t="s">
        <v>59</v>
      </c>
      <c r="D234" s="617" t="str">
        <f>IFERROR(VLOOKUP(C234,Foundation!$C$5:$D$427,2,0),"")</f>
        <v>DD60+35</v>
      </c>
      <c r="E234" s="1029" t="s">
        <v>405</v>
      </c>
      <c r="F234" s="38">
        <v>45762</v>
      </c>
      <c r="G234" s="726">
        <f t="shared" si="4"/>
        <v>45762</v>
      </c>
      <c r="H234" s="64" t="s">
        <v>952</v>
      </c>
      <c r="I234" s="64" t="s">
        <v>662</v>
      </c>
      <c r="J234" s="65" t="s">
        <v>1411</v>
      </c>
      <c r="K234" s="614" t="s">
        <v>255</v>
      </c>
    </row>
    <row r="235" spans="1:11" ht="15.5">
      <c r="A235" s="611">
        <v>231</v>
      </c>
      <c r="B235" s="3">
        <v>54</v>
      </c>
      <c r="C235" s="729" t="s">
        <v>58</v>
      </c>
      <c r="D235" s="617" t="str">
        <f>IFERROR(VLOOKUP(C235,Foundation!$C$5:$D$427,2,0),"")</f>
        <v>DD60+18</v>
      </c>
      <c r="E235" s="1029" t="s">
        <v>405</v>
      </c>
      <c r="F235" s="38">
        <v>45762</v>
      </c>
      <c r="G235" s="726">
        <f t="shared" si="4"/>
        <v>45762</v>
      </c>
      <c r="H235" s="64" t="s">
        <v>952</v>
      </c>
      <c r="I235" s="64" t="s">
        <v>662</v>
      </c>
      <c r="J235" s="65" t="s">
        <v>1411</v>
      </c>
      <c r="K235" s="614" t="s">
        <v>255</v>
      </c>
    </row>
    <row r="236" spans="1:11" ht="15.5">
      <c r="A236" s="611">
        <v>232</v>
      </c>
      <c r="B236" s="3">
        <v>55</v>
      </c>
      <c r="C236" s="729" t="s">
        <v>57</v>
      </c>
      <c r="D236" s="617" t="str">
        <f>IFERROR(VLOOKUP(C236,Foundation!$C$5:$D$427,2,0),"")</f>
        <v>DD60+18</v>
      </c>
      <c r="E236" s="1029" t="s">
        <v>405</v>
      </c>
      <c r="F236" s="38">
        <v>45762</v>
      </c>
      <c r="G236" s="726">
        <f t="shared" si="4"/>
        <v>45762</v>
      </c>
      <c r="H236" s="64" t="s">
        <v>952</v>
      </c>
      <c r="I236" s="64" t="s">
        <v>662</v>
      </c>
      <c r="J236" s="65" t="s">
        <v>1411</v>
      </c>
      <c r="K236" s="614" t="s">
        <v>255</v>
      </c>
    </row>
    <row r="237" spans="1:11" ht="15.5">
      <c r="A237" s="611">
        <v>233</v>
      </c>
      <c r="B237" s="3">
        <v>56</v>
      </c>
      <c r="C237" s="729" t="s">
        <v>676</v>
      </c>
      <c r="D237" s="617" t="str">
        <f>IFERROR(VLOOKUP(C237,Foundation!$C$5:$D$427,2,0),"")</f>
        <v>DB1+9</v>
      </c>
      <c r="E237" s="1029" t="s">
        <v>405</v>
      </c>
      <c r="F237" s="38">
        <v>45763</v>
      </c>
      <c r="G237" s="726">
        <f t="shared" si="4"/>
        <v>45763</v>
      </c>
      <c r="H237" s="64" t="s">
        <v>952</v>
      </c>
      <c r="I237" s="64" t="s">
        <v>662</v>
      </c>
      <c r="J237" s="65" t="s">
        <v>1411</v>
      </c>
      <c r="K237" s="614" t="s">
        <v>255</v>
      </c>
    </row>
    <row r="238" spans="1:11" ht="15.5">
      <c r="A238" s="611">
        <v>234</v>
      </c>
      <c r="B238" s="3">
        <v>57</v>
      </c>
      <c r="C238" s="729" t="s">
        <v>56</v>
      </c>
      <c r="D238" s="617" t="str">
        <f>IFERROR(VLOOKUP(C238,Foundation!$C$5:$D$427,2,0),"")</f>
        <v>DB2+9</v>
      </c>
      <c r="E238" s="1029" t="s">
        <v>405</v>
      </c>
      <c r="F238" s="38">
        <v>45763</v>
      </c>
      <c r="G238" s="726">
        <f t="shared" si="4"/>
        <v>45763</v>
      </c>
      <c r="H238" s="64" t="s">
        <v>952</v>
      </c>
      <c r="I238" s="64" t="s">
        <v>662</v>
      </c>
      <c r="J238" s="65" t="s">
        <v>1411</v>
      </c>
      <c r="K238" s="614" t="s">
        <v>255</v>
      </c>
    </row>
    <row r="239" spans="1:11" ht="15.5">
      <c r="A239" s="611">
        <v>235</v>
      </c>
      <c r="B239" s="3">
        <v>58</v>
      </c>
      <c r="C239" s="729" t="s">
        <v>55</v>
      </c>
      <c r="D239" s="617" t="str">
        <f>IFERROR(VLOOKUP(C239,Foundation!$C$5:$D$427,2,0),"")</f>
        <v>DC2+15</v>
      </c>
      <c r="E239" s="1029" t="s">
        <v>405</v>
      </c>
      <c r="F239" s="38">
        <v>45763</v>
      </c>
      <c r="G239" s="726">
        <f t="shared" si="4"/>
        <v>45763</v>
      </c>
      <c r="H239" s="64" t="s">
        <v>952</v>
      </c>
      <c r="I239" s="64" t="s">
        <v>662</v>
      </c>
      <c r="J239" s="65" t="s">
        <v>1411</v>
      </c>
      <c r="K239" s="614" t="s">
        <v>255</v>
      </c>
    </row>
    <row r="240" spans="1:11" ht="15.5">
      <c r="A240" s="611">
        <v>236</v>
      </c>
      <c r="B240" s="3">
        <v>59</v>
      </c>
      <c r="C240" s="729" t="s">
        <v>429</v>
      </c>
      <c r="D240" s="617" t="str">
        <f>IFERROR(VLOOKUP(C240,Foundation!$C$5:$D$427,2,0),"")</f>
        <v>DA+0</v>
      </c>
      <c r="E240" s="1029" t="s">
        <v>405</v>
      </c>
      <c r="F240" s="38">
        <v>45763</v>
      </c>
      <c r="G240" s="726">
        <f t="shared" si="4"/>
        <v>45763</v>
      </c>
      <c r="H240" s="64" t="s">
        <v>952</v>
      </c>
      <c r="I240" s="64" t="s">
        <v>662</v>
      </c>
      <c r="J240" s="65" t="s">
        <v>1411</v>
      </c>
      <c r="K240" s="614" t="s">
        <v>255</v>
      </c>
    </row>
    <row r="241" spans="1:11" ht="15.5">
      <c r="A241" s="611">
        <v>237</v>
      </c>
      <c r="B241" s="3">
        <v>60</v>
      </c>
      <c r="C241" s="729" t="s">
        <v>182</v>
      </c>
      <c r="D241" s="617" t="str">
        <f>IFERROR(VLOOKUP(C241,Foundation!$C$5:$D$427,2,0),"")</f>
        <v>DA+0</v>
      </c>
      <c r="E241" s="1029" t="s">
        <v>405</v>
      </c>
      <c r="F241" s="38">
        <v>45764</v>
      </c>
      <c r="G241" s="726">
        <f t="shared" si="4"/>
        <v>45764</v>
      </c>
      <c r="H241" s="64" t="s">
        <v>952</v>
      </c>
      <c r="I241" s="64" t="s">
        <v>1430</v>
      </c>
      <c r="J241" s="65" t="s">
        <v>1411</v>
      </c>
      <c r="K241" s="614" t="s">
        <v>255</v>
      </c>
    </row>
    <row r="242" spans="1:11" ht="15.5">
      <c r="A242" s="611">
        <v>238</v>
      </c>
      <c r="B242" s="3">
        <v>61</v>
      </c>
      <c r="C242" s="729" t="s">
        <v>175</v>
      </c>
      <c r="D242" s="617" t="str">
        <f>IFERROR(VLOOKUP(C242,Foundation!$C$5:$D$427,2,0),"")</f>
        <v>DA-3</v>
      </c>
      <c r="E242" s="1029" t="s">
        <v>405</v>
      </c>
      <c r="F242" s="38">
        <v>45764</v>
      </c>
      <c r="G242" s="726">
        <f t="shared" si="4"/>
        <v>45764</v>
      </c>
      <c r="H242" s="64" t="s">
        <v>952</v>
      </c>
      <c r="I242" s="64" t="s">
        <v>1430</v>
      </c>
      <c r="J242" s="65" t="s">
        <v>1411</v>
      </c>
      <c r="K242" s="614" t="s">
        <v>255</v>
      </c>
    </row>
    <row r="243" spans="1:11" ht="15.5">
      <c r="A243" s="611">
        <v>239</v>
      </c>
      <c r="B243" s="3">
        <v>62</v>
      </c>
      <c r="C243" s="729" t="s">
        <v>174</v>
      </c>
      <c r="D243" s="617" t="str">
        <f>IFERROR(VLOOKUP(C243,Foundation!$C$5:$D$427,2,0),"")</f>
        <v>DA-3</v>
      </c>
      <c r="E243" s="1029" t="s">
        <v>405</v>
      </c>
      <c r="F243" s="38">
        <v>45764</v>
      </c>
      <c r="G243" s="726">
        <f t="shared" si="4"/>
        <v>45764</v>
      </c>
      <c r="H243" s="64" t="s">
        <v>952</v>
      </c>
      <c r="I243" s="64" t="s">
        <v>1430</v>
      </c>
      <c r="J243" s="65" t="s">
        <v>1411</v>
      </c>
      <c r="K243" s="614" t="s">
        <v>255</v>
      </c>
    </row>
    <row r="244" spans="1:11" ht="15.5">
      <c r="A244" s="611">
        <v>240</v>
      </c>
      <c r="B244" s="3">
        <v>63</v>
      </c>
      <c r="C244" s="729" t="s">
        <v>426</v>
      </c>
      <c r="D244" s="617" t="str">
        <f>IFERROR(VLOOKUP(C244,Foundation!$C$5:$D$427,2,0),"")</f>
        <v>DA+1.5</v>
      </c>
      <c r="E244" s="1029" t="s">
        <v>405</v>
      </c>
      <c r="F244" s="38">
        <v>45765</v>
      </c>
      <c r="G244" s="726">
        <f t="shared" si="4"/>
        <v>45765</v>
      </c>
      <c r="H244" s="64" t="s">
        <v>952</v>
      </c>
      <c r="I244" s="64" t="s">
        <v>1430</v>
      </c>
      <c r="J244" s="65" t="s">
        <v>1411</v>
      </c>
      <c r="K244" s="614" t="s">
        <v>255</v>
      </c>
    </row>
    <row r="245" spans="1:11" ht="15.5">
      <c r="A245" s="611">
        <v>241</v>
      </c>
      <c r="B245" s="3">
        <v>64</v>
      </c>
      <c r="C245" s="729" t="s">
        <v>251</v>
      </c>
      <c r="D245" s="617" t="str">
        <f>IFERROR(VLOOKUP(C245,Foundation!$C$5:$D$427,2,0),"")</f>
        <v>DA+9</v>
      </c>
      <c r="E245" s="1029" t="s">
        <v>405</v>
      </c>
      <c r="F245" s="38">
        <v>45765</v>
      </c>
      <c r="G245" s="726">
        <f t="shared" si="4"/>
        <v>45765</v>
      </c>
      <c r="H245" s="64" t="s">
        <v>952</v>
      </c>
      <c r="I245" s="64" t="s">
        <v>1430</v>
      </c>
      <c r="J245" s="65" t="s">
        <v>1411</v>
      </c>
      <c r="K245" s="614" t="s">
        <v>255</v>
      </c>
    </row>
    <row r="246" spans="1:11" ht="15.5">
      <c r="A246" s="611">
        <v>242</v>
      </c>
      <c r="B246" s="3">
        <v>65</v>
      </c>
      <c r="C246" s="729" t="s">
        <v>423</v>
      </c>
      <c r="D246" s="617" t="str">
        <f>IFERROR(VLOOKUP(C246,Foundation!$C$5:$D$427,2,0),"")</f>
        <v>DA-1.5</v>
      </c>
      <c r="E246" s="1029" t="s">
        <v>405</v>
      </c>
      <c r="F246" s="38">
        <v>45765</v>
      </c>
      <c r="G246" s="726">
        <f t="shared" si="4"/>
        <v>45765</v>
      </c>
      <c r="H246" s="64" t="s">
        <v>952</v>
      </c>
      <c r="I246" s="64" t="s">
        <v>1430</v>
      </c>
      <c r="J246" s="65" t="s">
        <v>1411</v>
      </c>
      <c r="K246" s="614" t="s">
        <v>255</v>
      </c>
    </row>
    <row r="247" spans="1:11" ht="15.5">
      <c r="A247" s="611">
        <v>243</v>
      </c>
      <c r="B247" s="3">
        <v>66</v>
      </c>
      <c r="C247" s="729" t="s">
        <v>167</v>
      </c>
      <c r="D247" s="617" t="str">
        <f>IFERROR(VLOOKUP(C247,Foundation!$C$5:$D$427,2,0),"")</f>
        <v>DD60+25</v>
      </c>
      <c r="E247" s="1029" t="s">
        <v>405</v>
      </c>
      <c r="F247" s="38">
        <v>45766</v>
      </c>
      <c r="G247" s="726">
        <f t="shared" si="4"/>
        <v>45766</v>
      </c>
      <c r="H247" s="64" t="s">
        <v>952</v>
      </c>
      <c r="I247" s="64" t="s">
        <v>1430</v>
      </c>
      <c r="J247" s="65" t="s">
        <v>1411</v>
      </c>
      <c r="K247" s="614" t="s">
        <v>255</v>
      </c>
    </row>
    <row r="248" spans="1:11" ht="15.5">
      <c r="A248" s="611">
        <v>244</v>
      </c>
      <c r="B248" s="3">
        <v>67</v>
      </c>
      <c r="C248" s="729" t="s">
        <v>308</v>
      </c>
      <c r="D248" s="617" t="str">
        <f>IFERROR(VLOOKUP(C248,Foundation!$C$5:$D$427,2,0),"")</f>
        <v>DA+6</v>
      </c>
      <c r="E248" s="1029" t="s">
        <v>405</v>
      </c>
      <c r="F248" s="38">
        <v>45766</v>
      </c>
      <c r="G248" s="726">
        <f t="shared" si="4"/>
        <v>45766</v>
      </c>
      <c r="H248" s="64" t="s">
        <v>952</v>
      </c>
      <c r="I248" s="64" t="s">
        <v>1430</v>
      </c>
      <c r="J248" s="65" t="s">
        <v>1411</v>
      </c>
      <c r="K248" s="614" t="s">
        <v>255</v>
      </c>
    </row>
    <row r="249" spans="1:11" ht="15.5">
      <c r="A249" s="611">
        <v>245</v>
      </c>
      <c r="B249" s="3">
        <v>68</v>
      </c>
      <c r="C249" s="729" t="s">
        <v>267</v>
      </c>
      <c r="D249" s="617" t="str">
        <f>IFERROR(VLOOKUP(C249,Foundation!$C$5:$D$427,2,0),"")</f>
        <v>DD60+9</v>
      </c>
      <c r="E249" s="1029" t="s">
        <v>405</v>
      </c>
      <c r="F249" s="38">
        <v>45766</v>
      </c>
      <c r="G249" s="726">
        <f t="shared" si="4"/>
        <v>45766</v>
      </c>
      <c r="H249" s="64" t="s">
        <v>952</v>
      </c>
      <c r="I249" s="64" t="s">
        <v>1430</v>
      </c>
      <c r="J249" s="65" t="s">
        <v>1411</v>
      </c>
      <c r="K249" s="614" t="s">
        <v>255</v>
      </c>
    </row>
    <row r="250" spans="1:11" ht="15.5">
      <c r="A250" s="611">
        <v>246</v>
      </c>
      <c r="B250" s="3">
        <v>69</v>
      </c>
      <c r="C250" s="729" t="s">
        <v>1253</v>
      </c>
      <c r="D250" s="617" t="str">
        <f>IFERROR(VLOOKUP(C250,Foundation!$C$5:$D$427,2,0),"")</f>
        <v>DA+3</v>
      </c>
      <c r="E250" s="1029" t="s">
        <v>405</v>
      </c>
      <c r="F250" s="38">
        <v>45775</v>
      </c>
      <c r="G250" s="726">
        <f t="shared" si="4"/>
        <v>45775</v>
      </c>
      <c r="H250" s="64" t="s">
        <v>952</v>
      </c>
      <c r="I250" s="64" t="s">
        <v>1414</v>
      </c>
      <c r="J250" s="65" t="s">
        <v>1411</v>
      </c>
      <c r="K250" s="614" t="s">
        <v>255</v>
      </c>
    </row>
    <row r="251" spans="1:11" ht="15.5">
      <c r="A251" s="611">
        <v>247</v>
      </c>
      <c r="B251" s="3">
        <v>70</v>
      </c>
      <c r="C251" s="729" t="s">
        <v>1254</v>
      </c>
      <c r="D251" s="617" t="str">
        <f>IFERROR(VLOOKUP(C251,Foundation!$C$5:$D$427,2,0),"")</f>
        <v>DA+3</v>
      </c>
      <c r="E251" s="1029" t="s">
        <v>405</v>
      </c>
      <c r="F251" s="38">
        <v>45775</v>
      </c>
      <c r="G251" s="726">
        <f t="shared" si="4"/>
        <v>45775</v>
      </c>
      <c r="H251" s="64" t="s">
        <v>952</v>
      </c>
      <c r="I251" s="64" t="s">
        <v>1414</v>
      </c>
      <c r="J251" s="65" t="s">
        <v>1411</v>
      </c>
      <c r="K251" s="614" t="s">
        <v>255</v>
      </c>
    </row>
    <row r="252" spans="1:11" ht="15.5">
      <c r="A252" s="611">
        <v>248</v>
      </c>
      <c r="B252" s="3">
        <v>71</v>
      </c>
      <c r="C252" s="729" t="s">
        <v>1255</v>
      </c>
      <c r="D252" s="617" t="str">
        <f>IFERROR(VLOOKUP(C252,Foundation!$C$5:$D$427,2,0),"")</f>
        <v>DA+3</v>
      </c>
      <c r="E252" s="1029" t="s">
        <v>405</v>
      </c>
      <c r="F252" s="38">
        <v>45776</v>
      </c>
      <c r="G252" s="726">
        <f t="shared" ref="G252:G273" si="5">F252</f>
        <v>45776</v>
      </c>
      <c r="H252" s="64" t="s">
        <v>952</v>
      </c>
      <c r="I252" s="64" t="s">
        <v>1414</v>
      </c>
      <c r="J252" s="65" t="s">
        <v>1411</v>
      </c>
      <c r="K252" s="614" t="s">
        <v>255</v>
      </c>
    </row>
    <row r="253" spans="1:11" ht="15.5">
      <c r="A253" s="611">
        <v>249</v>
      </c>
      <c r="B253" s="3">
        <v>72</v>
      </c>
      <c r="C253" s="729" t="s">
        <v>1256</v>
      </c>
      <c r="D253" s="617" t="str">
        <f>IFERROR(VLOOKUP(C253,Foundation!$C$5:$D$427,2,0),"")</f>
        <v>DA+3</v>
      </c>
      <c r="E253" s="1029" t="s">
        <v>405</v>
      </c>
      <c r="F253" s="38">
        <v>45776</v>
      </c>
      <c r="G253" s="726">
        <f t="shared" si="5"/>
        <v>45776</v>
      </c>
      <c r="H253" s="64" t="s">
        <v>952</v>
      </c>
      <c r="I253" s="64" t="s">
        <v>1414</v>
      </c>
      <c r="J253" s="65" t="s">
        <v>1411</v>
      </c>
      <c r="K253" s="614" t="s">
        <v>255</v>
      </c>
    </row>
    <row r="254" spans="1:11" ht="15.5">
      <c r="A254" s="611">
        <v>250</v>
      </c>
      <c r="B254" s="3">
        <v>73</v>
      </c>
      <c r="C254" s="729" t="s">
        <v>1257</v>
      </c>
      <c r="D254" s="617" t="str">
        <f>IFERROR(VLOOKUP(C254,Foundation!$C$5:$D$427,2,0),"")</f>
        <v>DA+6</v>
      </c>
      <c r="E254" s="1029" t="s">
        <v>405</v>
      </c>
      <c r="F254" s="38">
        <v>45776</v>
      </c>
      <c r="G254" s="726">
        <f t="shared" si="5"/>
        <v>45776</v>
      </c>
      <c r="H254" s="64" t="s">
        <v>952</v>
      </c>
      <c r="I254" s="64" t="s">
        <v>1414</v>
      </c>
      <c r="J254" s="65" t="s">
        <v>1411</v>
      </c>
      <c r="K254" s="614" t="s">
        <v>255</v>
      </c>
    </row>
    <row r="255" spans="1:11" ht="15.5">
      <c r="A255" s="611">
        <v>251</v>
      </c>
      <c r="B255" s="3">
        <v>74</v>
      </c>
      <c r="C255" s="729" t="s">
        <v>1258</v>
      </c>
      <c r="D255" s="617" t="str">
        <f>IFERROR(VLOOKUP(C255,Foundation!$C$5:$D$427,2,0),"")</f>
        <v>DD45+3</v>
      </c>
      <c r="E255" s="1029" t="s">
        <v>405</v>
      </c>
      <c r="F255" s="38">
        <v>45777</v>
      </c>
      <c r="G255" s="726">
        <f t="shared" si="5"/>
        <v>45777</v>
      </c>
      <c r="H255" s="64" t="s">
        <v>952</v>
      </c>
      <c r="I255" s="64" t="s">
        <v>1414</v>
      </c>
      <c r="J255" s="65" t="s">
        <v>1411</v>
      </c>
      <c r="K255" s="614" t="s">
        <v>255</v>
      </c>
    </row>
    <row r="256" spans="1:11" ht="15.5">
      <c r="A256" s="611">
        <v>252</v>
      </c>
      <c r="B256" s="3">
        <v>75</v>
      </c>
      <c r="C256" s="729" t="s">
        <v>1259</v>
      </c>
      <c r="D256" s="617" t="str">
        <f>IFERROR(VLOOKUP(C256,Foundation!$C$5:$D$427,2,0),"")</f>
        <v>DA+3</v>
      </c>
      <c r="E256" s="1029" t="s">
        <v>405</v>
      </c>
      <c r="F256" s="38">
        <v>45777</v>
      </c>
      <c r="G256" s="726">
        <f t="shared" si="5"/>
        <v>45777</v>
      </c>
      <c r="H256" s="64" t="s">
        <v>952</v>
      </c>
      <c r="I256" s="64" t="s">
        <v>1414</v>
      </c>
      <c r="J256" s="65" t="s">
        <v>1411</v>
      </c>
      <c r="K256" s="614" t="s">
        <v>255</v>
      </c>
    </row>
    <row r="257" spans="1:11" ht="15.5">
      <c r="A257" s="611">
        <v>253</v>
      </c>
      <c r="B257" s="3">
        <v>1</v>
      </c>
      <c r="C257" s="729" t="s">
        <v>1260</v>
      </c>
      <c r="D257" s="617" t="str">
        <f>IFERROR(VLOOKUP(C257,Foundation!$C$5:$D$427,2,0),"")</f>
        <v>DA+3</v>
      </c>
      <c r="E257" s="1029" t="s">
        <v>405</v>
      </c>
      <c r="F257" s="38">
        <v>45778</v>
      </c>
      <c r="G257" s="726">
        <f t="shared" si="5"/>
        <v>45778</v>
      </c>
      <c r="H257" s="64" t="s">
        <v>952</v>
      </c>
      <c r="I257" s="64" t="s">
        <v>1414</v>
      </c>
      <c r="J257" s="65" t="s">
        <v>1447</v>
      </c>
      <c r="K257" s="614" t="s">
        <v>255</v>
      </c>
    </row>
    <row r="258" spans="1:11" ht="15.5">
      <c r="A258" s="611">
        <v>254</v>
      </c>
      <c r="B258" s="3">
        <v>2</v>
      </c>
      <c r="C258" s="729" t="s">
        <v>1261</v>
      </c>
      <c r="D258" s="617" t="str">
        <f>IFERROR(VLOOKUP(C258,Foundation!$C$5:$D$427,2,0),"")</f>
        <v>DA+0</v>
      </c>
      <c r="E258" s="1029" t="s">
        <v>405</v>
      </c>
      <c r="F258" s="38">
        <v>45778</v>
      </c>
      <c r="G258" s="726">
        <f t="shared" si="5"/>
        <v>45778</v>
      </c>
      <c r="H258" s="64" t="s">
        <v>952</v>
      </c>
      <c r="I258" s="64" t="s">
        <v>1414</v>
      </c>
      <c r="J258" s="65" t="s">
        <v>1447</v>
      </c>
      <c r="K258" s="614" t="s">
        <v>255</v>
      </c>
    </row>
    <row r="259" spans="1:11" ht="15.5">
      <c r="A259" s="611">
        <v>255</v>
      </c>
      <c r="B259" s="3">
        <v>3</v>
      </c>
      <c r="C259" s="729" t="s">
        <v>1262</v>
      </c>
      <c r="D259" s="617" t="str">
        <f>IFERROR(VLOOKUP(C259,Foundation!$C$5:$D$427,2,0),"")</f>
        <v>DA+0</v>
      </c>
      <c r="E259" s="1029" t="s">
        <v>405</v>
      </c>
      <c r="F259" s="38">
        <v>45778</v>
      </c>
      <c r="G259" s="726">
        <f t="shared" si="5"/>
        <v>45778</v>
      </c>
      <c r="H259" s="64" t="s">
        <v>952</v>
      </c>
      <c r="I259" s="64" t="s">
        <v>1414</v>
      </c>
      <c r="J259" s="65" t="s">
        <v>1447</v>
      </c>
      <c r="K259" s="614" t="s">
        <v>255</v>
      </c>
    </row>
    <row r="260" spans="1:11" ht="15.5">
      <c r="A260" s="611">
        <v>256</v>
      </c>
      <c r="B260" s="3">
        <v>4</v>
      </c>
      <c r="C260" s="729" t="s">
        <v>1263</v>
      </c>
      <c r="D260" s="617" t="str">
        <f>IFERROR(VLOOKUP(C260,Foundation!$C$5:$D$427,2,0),"")</f>
        <v>DA+3</v>
      </c>
      <c r="E260" s="1029" t="s">
        <v>405</v>
      </c>
      <c r="F260" s="38">
        <v>45780</v>
      </c>
      <c r="G260" s="726">
        <f t="shared" si="5"/>
        <v>45780</v>
      </c>
      <c r="H260" s="64" t="s">
        <v>952</v>
      </c>
      <c r="I260" s="64" t="s">
        <v>1414</v>
      </c>
      <c r="J260" s="65" t="s">
        <v>1447</v>
      </c>
      <c r="K260" s="614" t="s">
        <v>255</v>
      </c>
    </row>
    <row r="261" spans="1:11" ht="15.5">
      <c r="A261" s="611">
        <v>257</v>
      </c>
      <c r="B261" s="3">
        <v>5</v>
      </c>
      <c r="C261" s="729" t="s">
        <v>1264</v>
      </c>
      <c r="D261" s="617" t="str">
        <f>IFERROR(VLOOKUP(C261,Foundation!$C$5:$D$427,2,0),"")</f>
        <v>DA+0</v>
      </c>
      <c r="E261" s="1029" t="s">
        <v>405</v>
      </c>
      <c r="F261" s="38">
        <v>45780</v>
      </c>
      <c r="G261" s="726">
        <f t="shared" si="5"/>
        <v>45780</v>
      </c>
      <c r="H261" s="64" t="s">
        <v>952</v>
      </c>
      <c r="I261" s="64" t="s">
        <v>1414</v>
      </c>
      <c r="J261" s="65" t="s">
        <v>1447</v>
      </c>
      <c r="K261" s="614" t="s">
        <v>255</v>
      </c>
    </row>
    <row r="262" spans="1:11" ht="15.5">
      <c r="A262" s="611">
        <v>258</v>
      </c>
      <c r="B262" s="3">
        <v>6</v>
      </c>
      <c r="C262" s="729" t="s">
        <v>1265</v>
      </c>
      <c r="D262" s="617" t="str">
        <f>IFERROR(VLOOKUP(C262,Foundation!$C$5:$D$427,2,0),"")</f>
        <v>DB1+9</v>
      </c>
      <c r="E262" s="1029" t="s">
        <v>405</v>
      </c>
      <c r="F262" s="38">
        <v>45780</v>
      </c>
      <c r="G262" s="726">
        <f t="shared" si="5"/>
        <v>45780</v>
      </c>
      <c r="H262" s="64" t="s">
        <v>952</v>
      </c>
      <c r="I262" s="64" t="s">
        <v>1414</v>
      </c>
      <c r="J262" s="65" t="s">
        <v>1447</v>
      </c>
      <c r="K262" s="614" t="s">
        <v>255</v>
      </c>
    </row>
    <row r="263" spans="1:11" ht="15.5">
      <c r="A263" s="611">
        <v>259</v>
      </c>
      <c r="B263" s="3">
        <v>7</v>
      </c>
      <c r="C263" s="729" t="s">
        <v>1266</v>
      </c>
      <c r="D263" s="617" t="str">
        <f>IFERROR(VLOOKUP(C263,Foundation!$C$5:$D$427,2,0),"")</f>
        <v>DA+3</v>
      </c>
      <c r="E263" s="1029" t="s">
        <v>405</v>
      </c>
      <c r="F263" s="38">
        <v>45780</v>
      </c>
      <c r="G263" s="726">
        <f t="shared" si="5"/>
        <v>45780</v>
      </c>
      <c r="H263" s="64" t="s">
        <v>952</v>
      </c>
      <c r="I263" s="64" t="s">
        <v>1414</v>
      </c>
      <c r="J263" s="65" t="s">
        <v>1447</v>
      </c>
      <c r="K263" s="614" t="s">
        <v>255</v>
      </c>
    </row>
    <row r="264" spans="1:11" ht="15.5">
      <c r="A264" s="611">
        <v>260</v>
      </c>
      <c r="B264" s="3">
        <v>8</v>
      </c>
      <c r="C264" s="729" t="s">
        <v>1267</v>
      </c>
      <c r="D264" s="617" t="str">
        <f>IFERROR(VLOOKUP(C264,Foundation!$C$5:$D$427,2,0),"")</f>
        <v>DA+9</v>
      </c>
      <c r="E264" s="1029" t="s">
        <v>405</v>
      </c>
      <c r="F264" s="38">
        <v>45780</v>
      </c>
      <c r="G264" s="726">
        <f t="shared" si="5"/>
        <v>45780</v>
      </c>
      <c r="H264" s="64" t="s">
        <v>952</v>
      </c>
      <c r="I264" s="64" t="s">
        <v>1414</v>
      </c>
      <c r="J264" s="65" t="s">
        <v>1447</v>
      </c>
      <c r="K264" s="614" t="s">
        <v>255</v>
      </c>
    </row>
    <row r="265" spans="1:11" ht="15.5">
      <c r="A265" s="611">
        <v>261</v>
      </c>
      <c r="B265" s="3">
        <v>9</v>
      </c>
      <c r="C265" s="729" t="s">
        <v>402</v>
      </c>
      <c r="D265" s="617" t="str">
        <f>IFERROR(VLOOKUP(C265,Foundation!$C$5:$D$427,2,0),"")</f>
        <v>DA+9</v>
      </c>
      <c r="E265" s="1029" t="s">
        <v>405</v>
      </c>
      <c r="F265" s="38">
        <v>45781</v>
      </c>
      <c r="G265" s="726">
        <f t="shared" si="5"/>
        <v>45781</v>
      </c>
      <c r="H265" s="64" t="s">
        <v>952</v>
      </c>
      <c r="I265" s="64" t="s">
        <v>1414</v>
      </c>
      <c r="J265" s="65" t="s">
        <v>1447</v>
      </c>
      <c r="K265" s="614" t="s">
        <v>255</v>
      </c>
    </row>
    <row r="266" spans="1:11" ht="15.5">
      <c r="A266" s="611">
        <v>262</v>
      </c>
      <c r="B266" s="3">
        <v>10</v>
      </c>
      <c r="C266" s="729" t="s">
        <v>484</v>
      </c>
      <c r="D266" s="617" t="str">
        <f>IFERROR(VLOOKUP(C266,Foundation!$C$5:$D$427,2,0),"")</f>
        <v>DB1+12</v>
      </c>
      <c r="E266" s="1029" t="s">
        <v>405</v>
      </c>
      <c r="F266" s="38">
        <v>45781</v>
      </c>
      <c r="G266" s="726">
        <f t="shared" si="5"/>
        <v>45781</v>
      </c>
      <c r="H266" s="64" t="s">
        <v>952</v>
      </c>
      <c r="I266" s="64" t="s">
        <v>1414</v>
      </c>
      <c r="J266" s="65" t="s">
        <v>1447</v>
      </c>
      <c r="K266" s="614" t="s">
        <v>255</v>
      </c>
    </row>
    <row r="267" spans="1:11" ht="15.5">
      <c r="A267" s="611">
        <v>263</v>
      </c>
      <c r="B267" s="3">
        <v>11</v>
      </c>
      <c r="C267" s="729" t="s">
        <v>414</v>
      </c>
      <c r="D267" s="617" t="str">
        <f>IFERROR(VLOOKUP(C267,Foundation!$C$5:$D$427,2,0),"")</f>
        <v>DA+3</v>
      </c>
      <c r="E267" s="1029" t="s">
        <v>405</v>
      </c>
      <c r="F267" s="38">
        <v>45782</v>
      </c>
      <c r="G267" s="726">
        <f t="shared" si="5"/>
        <v>45782</v>
      </c>
      <c r="H267" s="64" t="s">
        <v>952</v>
      </c>
      <c r="I267" s="64" t="s">
        <v>1414</v>
      </c>
      <c r="J267" s="65" t="s">
        <v>1447</v>
      </c>
      <c r="K267" s="614" t="s">
        <v>255</v>
      </c>
    </row>
    <row r="268" spans="1:11" ht="15.5">
      <c r="A268" s="611">
        <v>264</v>
      </c>
      <c r="B268" s="3">
        <v>12</v>
      </c>
      <c r="C268" s="729" t="s">
        <v>485</v>
      </c>
      <c r="D268" s="617" t="str">
        <f>IFERROR(VLOOKUP(C268,Foundation!$C$5:$D$427,2,0),"")</f>
        <v>DB1+9</v>
      </c>
      <c r="E268" s="1029" t="s">
        <v>405</v>
      </c>
      <c r="F268" s="38">
        <v>45782</v>
      </c>
      <c r="G268" s="726">
        <f t="shared" si="5"/>
        <v>45782</v>
      </c>
      <c r="H268" s="64" t="s">
        <v>952</v>
      </c>
      <c r="I268" s="64" t="s">
        <v>1414</v>
      </c>
      <c r="J268" s="65" t="s">
        <v>1447</v>
      </c>
      <c r="K268" s="614" t="s">
        <v>255</v>
      </c>
    </row>
    <row r="269" spans="1:11" ht="15.5">
      <c r="A269" s="611">
        <v>265</v>
      </c>
      <c r="B269" s="3">
        <v>13</v>
      </c>
      <c r="C269" s="729" t="s">
        <v>11</v>
      </c>
      <c r="D269" s="617" t="str">
        <f>IFERROR(VLOOKUP(C269,Foundation!$C$5:$D$427,2,0),"")</f>
        <v>DD60+18</v>
      </c>
      <c r="E269" s="1029" t="s">
        <v>405</v>
      </c>
      <c r="F269" s="38">
        <v>45782</v>
      </c>
      <c r="G269" s="726">
        <f t="shared" si="5"/>
        <v>45782</v>
      </c>
      <c r="H269" s="64" t="s">
        <v>952</v>
      </c>
      <c r="I269" s="64" t="s">
        <v>1414</v>
      </c>
      <c r="J269" s="65" t="s">
        <v>1447</v>
      </c>
      <c r="K269" s="614" t="s">
        <v>255</v>
      </c>
    </row>
    <row r="270" spans="1:11" ht="15.5">
      <c r="A270" s="611">
        <v>266</v>
      </c>
      <c r="B270" s="3">
        <v>14</v>
      </c>
      <c r="C270" s="729" t="s">
        <v>1268</v>
      </c>
      <c r="D270" s="617" t="str">
        <f>IFERROR(VLOOKUP(C270,Foundation!$C$5:$D$427,2,0),"")</f>
        <v>DA+6</v>
      </c>
      <c r="E270" s="1029" t="s">
        <v>405</v>
      </c>
      <c r="F270" s="38">
        <v>45783</v>
      </c>
      <c r="G270" s="726">
        <f t="shared" si="5"/>
        <v>45783</v>
      </c>
      <c r="H270" s="64" t="s">
        <v>952</v>
      </c>
      <c r="I270" s="64" t="s">
        <v>1414</v>
      </c>
      <c r="J270" s="65" t="s">
        <v>1447</v>
      </c>
      <c r="K270" s="614" t="s">
        <v>255</v>
      </c>
    </row>
    <row r="271" spans="1:11" ht="15.5">
      <c r="A271" s="611">
        <v>267</v>
      </c>
      <c r="B271" s="3">
        <v>15</v>
      </c>
      <c r="C271" s="729" t="s">
        <v>256</v>
      </c>
      <c r="D271" s="617" t="str">
        <f>IFERROR(VLOOKUP(C271,Foundation!$C$5:$D$427,2,0),"")</f>
        <v>DB2+9</v>
      </c>
      <c r="E271" s="1029" t="s">
        <v>405</v>
      </c>
      <c r="F271" s="38">
        <v>45783</v>
      </c>
      <c r="G271" s="726">
        <f t="shared" si="5"/>
        <v>45783</v>
      </c>
      <c r="H271" s="64" t="s">
        <v>952</v>
      </c>
      <c r="I271" s="64" t="s">
        <v>1414</v>
      </c>
      <c r="J271" s="65" t="s">
        <v>1447</v>
      </c>
      <c r="K271" s="614" t="s">
        <v>255</v>
      </c>
    </row>
    <row r="272" spans="1:11" ht="15.5">
      <c r="A272" s="611">
        <v>268</v>
      </c>
      <c r="B272" s="3">
        <v>16</v>
      </c>
      <c r="C272" s="729" t="s">
        <v>454</v>
      </c>
      <c r="D272" s="617" t="str">
        <f>IFERROR(VLOOKUP(C272,Foundation!$C$5:$D$427,2,0),"")</f>
        <v>DA+6</v>
      </c>
      <c r="E272" s="1029" t="s">
        <v>405</v>
      </c>
      <c r="F272" s="38">
        <v>45783</v>
      </c>
      <c r="G272" s="726">
        <f t="shared" si="5"/>
        <v>45783</v>
      </c>
      <c r="H272" s="64" t="s">
        <v>952</v>
      </c>
      <c r="I272" s="64" t="s">
        <v>1414</v>
      </c>
      <c r="J272" s="65" t="s">
        <v>1447</v>
      </c>
      <c r="K272" s="614" t="s">
        <v>255</v>
      </c>
    </row>
    <row r="273" spans="1:11" ht="15.5">
      <c r="A273" s="611">
        <v>269</v>
      </c>
      <c r="B273" s="3">
        <v>17</v>
      </c>
      <c r="C273" s="729" t="s">
        <v>894</v>
      </c>
      <c r="D273" s="617" t="str">
        <f>IFERROR(VLOOKUP(C273,Foundation!$C$5:$D$427,2,0),"")</f>
        <v>DA+6</v>
      </c>
      <c r="E273" s="1029" t="s">
        <v>405</v>
      </c>
      <c r="F273" s="38">
        <v>45783</v>
      </c>
      <c r="G273" s="726">
        <f t="shared" si="5"/>
        <v>45783</v>
      </c>
      <c r="H273" s="64" t="s">
        <v>952</v>
      </c>
      <c r="I273" s="64" t="s">
        <v>1414</v>
      </c>
      <c r="J273" s="65" t="s">
        <v>1447</v>
      </c>
      <c r="K273" s="614" t="s">
        <v>255</v>
      </c>
    </row>
    <row r="274" spans="1:11" ht="15.5">
      <c r="A274" s="611">
        <v>270</v>
      </c>
      <c r="B274" s="3">
        <v>18</v>
      </c>
      <c r="C274" s="729" t="s">
        <v>898</v>
      </c>
      <c r="D274" s="617" t="str">
        <f>IFERROR(VLOOKUP(C274,Foundation!$C$5:$D$427,2,0),"")</f>
        <v>DA+9</v>
      </c>
      <c r="E274" s="1029" t="s">
        <v>405</v>
      </c>
      <c r="F274" s="38">
        <v>45784</v>
      </c>
      <c r="G274" s="38">
        <v>45784</v>
      </c>
      <c r="H274" s="64" t="s">
        <v>952</v>
      </c>
      <c r="I274" s="64" t="s">
        <v>1414</v>
      </c>
      <c r="J274" s="65" t="s">
        <v>1447</v>
      </c>
      <c r="K274" s="614" t="s">
        <v>255</v>
      </c>
    </row>
    <row r="275" spans="1:11" ht="15.5">
      <c r="A275" s="611">
        <v>271</v>
      </c>
      <c r="B275" s="3">
        <v>19</v>
      </c>
      <c r="C275" s="729" t="s">
        <v>257</v>
      </c>
      <c r="D275" s="617" t="str">
        <f>IFERROR(VLOOKUP(C275,Foundation!$C$5:$D$427,2,0),"")</f>
        <v>DB1+6</v>
      </c>
      <c r="E275" s="1029" t="s">
        <v>405</v>
      </c>
      <c r="F275" s="38">
        <v>45784</v>
      </c>
      <c r="G275" s="38">
        <v>45784</v>
      </c>
      <c r="H275" s="64" t="s">
        <v>952</v>
      </c>
      <c r="I275" s="64" t="s">
        <v>1414</v>
      </c>
      <c r="J275" s="65" t="s">
        <v>1447</v>
      </c>
      <c r="K275" s="614" t="s">
        <v>255</v>
      </c>
    </row>
    <row r="276" spans="1:11" ht="15.5">
      <c r="A276" s="611">
        <v>272</v>
      </c>
      <c r="B276" s="3">
        <v>20</v>
      </c>
      <c r="C276" s="729" t="s">
        <v>459</v>
      </c>
      <c r="D276" s="617" t="str">
        <f>IFERROR(VLOOKUP(C276,Foundation!$C$5:$D$427,2,0),"")</f>
        <v>DA+6</v>
      </c>
      <c r="E276" s="1029" t="s">
        <v>405</v>
      </c>
      <c r="F276" s="38">
        <v>45784</v>
      </c>
      <c r="G276" s="38">
        <v>45784</v>
      </c>
      <c r="H276" s="64" t="s">
        <v>952</v>
      </c>
      <c r="I276" s="64" t="s">
        <v>1414</v>
      </c>
      <c r="J276" s="65" t="s">
        <v>1447</v>
      </c>
      <c r="K276" s="614" t="s">
        <v>255</v>
      </c>
    </row>
    <row r="277" spans="1:11" s="616" customFormat="1" ht="15.5">
      <c r="A277" s="611">
        <v>273</v>
      </c>
      <c r="B277" s="611">
        <v>21</v>
      </c>
      <c r="C277" s="729" t="s">
        <v>473</v>
      </c>
      <c r="D277" s="617" t="str">
        <f>IFERROR(VLOOKUP(C277,Foundation!$C$5:$D$427,2,0),"")</f>
        <v>DA+1.5</v>
      </c>
      <c r="E277" s="1029" t="s">
        <v>405</v>
      </c>
      <c r="F277" s="618">
        <v>45784</v>
      </c>
      <c r="G277" s="618">
        <v>45784</v>
      </c>
      <c r="H277" s="64" t="s">
        <v>952</v>
      </c>
      <c r="I277" s="64" t="s">
        <v>1414</v>
      </c>
      <c r="J277" s="65" t="s">
        <v>1447</v>
      </c>
      <c r="K277" s="614" t="s">
        <v>255</v>
      </c>
    </row>
    <row r="278" spans="1:11" ht="15.5">
      <c r="A278" s="611">
        <v>274</v>
      </c>
      <c r="B278" s="3">
        <v>22</v>
      </c>
      <c r="C278" s="729" t="s">
        <v>483</v>
      </c>
      <c r="D278" s="617" t="str">
        <f>IFERROR(VLOOKUP(C278,Foundation!$C$5:$D$427,2,0),"")</f>
        <v>DA-1.5</v>
      </c>
      <c r="E278" s="1029" t="s">
        <v>405</v>
      </c>
      <c r="F278" s="38">
        <v>45784</v>
      </c>
      <c r="G278" s="38">
        <v>45784</v>
      </c>
      <c r="H278" s="64" t="s">
        <v>952</v>
      </c>
      <c r="I278" s="64" t="s">
        <v>1414</v>
      </c>
      <c r="J278" s="65" t="s">
        <v>1447</v>
      </c>
      <c r="K278" s="614" t="s">
        <v>255</v>
      </c>
    </row>
    <row r="279" spans="1:11" ht="15.5">
      <c r="A279" s="611">
        <v>275</v>
      </c>
      <c r="B279" s="3">
        <v>23</v>
      </c>
      <c r="C279" s="729" t="s">
        <v>263</v>
      </c>
      <c r="D279" s="617" t="str">
        <f>IFERROR(VLOOKUP(C279,Foundation!$C$5:$D$427,2,0),"")</f>
        <v>DB1+12</v>
      </c>
      <c r="E279" s="1029" t="s">
        <v>405</v>
      </c>
      <c r="F279" s="38">
        <v>45785</v>
      </c>
      <c r="G279" s="38">
        <v>45785</v>
      </c>
      <c r="H279" s="64" t="s">
        <v>952</v>
      </c>
      <c r="I279" s="64" t="s">
        <v>1414</v>
      </c>
      <c r="J279" s="65" t="s">
        <v>1447</v>
      </c>
      <c r="K279" s="614" t="s">
        <v>255</v>
      </c>
    </row>
    <row r="280" spans="1:11" ht="15.5">
      <c r="A280" s="611">
        <v>276</v>
      </c>
      <c r="B280" s="3">
        <v>24</v>
      </c>
      <c r="C280" s="729" t="s">
        <v>180</v>
      </c>
      <c r="D280" s="617" t="str">
        <f>IFERROR(VLOOKUP(C280,Foundation!$C$5:$D$427,2,0),"")</f>
        <v>DA+6</v>
      </c>
      <c r="E280" s="1029" t="s">
        <v>405</v>
      </c>
      <c r="F280" s="38">
        <v>45785</v>
      </c>
      <c r="G280" s="38">
        <v>45785</v>
      </c>
      <c r="H280" s="64" t="s">
        <v>952</v>
      </c>
      <c r="I280" s="64" t="s">
        <v>1414</v>
      </c>
      <c r="J280" s="65" t="s">
        <v>1447</v>
      </c>
      <c r="K280" s="614" t="s">
        <v>255</v>
      </c>
    </row>
    <row r="281" spans="1:11" ht="15.5">
      <c r="A281" s="611">
        <v>277</v>
      </c>
      <c r="B281" s="3">
        <v>25</v>
      </c>
      <c r="C281" s="729" t="s">
        <v>181</v>
      </c>
      <c r="D281" s="617" t="str">
        <f>IFERROR(VLOOKUP(C281,Foundation!$C$5:$D$427,2,0),"")</f>
        <v>DA+6</v>
      </c>
      <c r="E281" s="1029" t="s">
        <v>405</v>
      </c>
      <c r="F281" s="38">
        <v>45785</v>
      </c>
      <c r="G281" s="38">
        <v>45785</v>
      </c>
      <c r="H281" s="64" t="s">
        <v>952</v>
      </c>
      <c r="I281" s="64" t="s">
        <v>1414</v>
      </c>
      <c r="J281" s="65" t="s">
        <v>1447</v>
      </c>
      <c r="K281" s="614" t="s">
        <v>255</v>
      </c>
    </row>
    <row r="282" spans="1:11" ht="15.5">
      <c r="A282" s="611">
        <v>278</v>
      </c>
      <c r="B282" s="10">
        <v>1</v>
      </c>
      <c r="C282" s="669" t="s">
        <v>265</v>
      </c>
      <c r="D282" s="617" t="str">
        <f>IFERROR(VLOOKUP(C282,Foundation!$C$5:$D$427,2,0),"")</f>
        <v>DD45+0</v>
      </c>
      <c r="E282" s="1029" t="s">
        <v>405</v>
      </c>
      <c r="F282" s="114">
        <v>45839</v>
      </c>
      <c r="G282" s="114">
        <v>45839</v>
      </c>
      <c r="H282" s="64" t="s">
        <v>952</v>
      </c>
      <c r="I282" s="64" t="s">
        <v>1414</v>
      </c>
      <c r="J282" s="10" t="s">
        <v>1474</v>
      </c>
      <c r="K282" s="64" t="s">
        <v>255</v>
      </c>
    </row>
    <row r="283" spans="1:11" ht="15.5">
      <c r="A283" s="611">
        <v>279</v>
      </c>
      <c r="B283" s="10">
        <v>2</v>
      </c>
      <c r="C283" s="669" t="s">
        <v>266</v>
      </c>
      <c r="D283" s="617" t="str">
        <f>IFERROR(VLOOKUP(C283,Foundation!$C$5:$D$427,2,0),"")</f>
        <v>DB1+9</v>
      </c>
      <c r="E283" s="1029" t="s">
        <v>405</v>
      </c>
      <c r="F283" s="114">
        <v>45839</v>
      </c>
      <c r="G283" s="114">
        <v>45839</v>
      </c>
      <c r="H283" s="64" t="s">
        <v>952</v>
      </c>
      <c r="I283" s="64" t="s">
        <v>1414</v>
      </c>
      <c r="J283" s="10" t="s">
        <v>1474</v>
      </c>
      <c r="K283" s="64" t="s">
        <v>255</v>
      </c>
    </row>
    <row r="284" spans="1:11" ht="15.5">
      <c r="A284" s="611">
        <v>280</v>
      </c>
      <c r="B284" s="3">
        <v>3</v>
      </c>
      <c r="C284" s="1032" t="s">
        <v>176</v>
      </c>
      <c r="D284" s="617" t="str">
        <f>IFERROR(VLOOKUP(C284,Foundation!$C$5:$D$427,2,0),"")</f>
        <v>DA+1.5</v>
      </c>
      <c r="E284" s="1029" t="s">
        <v>405</v>
      </c>
      <c r="F284" s="114">
        <v>45840</v>
      </c>
      <c r="G284" s="114">
        <v>45840</v>
      </c>
      <c r="H284" s="64" t="s">
        <v>952</v>
      </c>
      <c r="I284" s="64" t="s">
        <v>1414</v>
      </c>
      <c r="J284" s="10" t="s">
        <v>1474</v>
      </c>
      <c r="K284" s="64" t="s">
        <v>255</v>
      </c>
    </row>
    <row r="285" spans="1:11" ht="15.5">
      <c r="A285" s="611">
        <v>281</v>
      </c>
      <c r="B285" s="3">
        <v>4</v>
      </c>
      <c r="C285" s="669" t="s">
        <v>177</v>
      </c>
      <c r="D285" s="617" t="str">
        <f>IFERROR(VLOOKUP(C285,Foundation!$C$5:$D$427,2,0),"")</f>
        <v>DA+3</v>
      </c>
      <c r="E285" s="1029" t="s">
        <v>405</v>
      </c>
      <c r="F285" s="114">
        <v>45840</v>
      </c>
      <c r="G285" s="114">
        <v>45840</v>
      </c>
      <c r="H285" s="64" t="s">
        <v>952</v>
      </c>
      <c r="I285" s="64" t="s">
        <v>1414</v>
      </c>
      <c r="J285" s="10" t="s">
        <v>1474</v>
      </c>
      <c r="K285" s="64" t="s">
        <v>255</v>
      </c>
    </row>
    <row r="286" spans="1:11" ht="15.5">
      <c r="A286" s="611">
        <v>282</v>
      </c>
      <c r="B286" s="3">
        <v>5</v>
      </c>
      <c r="C286" s="669" t="s">
        <v>427</v>
      </c>
      <c r="D286" s="617" t="str">
        <f>IFERROR(VLOOKUP(C286,Foundation!$C$5:$D$427,2,0),"")</f>
        <v>DA+0</v>
      </c>
      <c r="E286" s="1029" t="s">
        <v>405</v>
      </c>
      <c r="F286" s="114">
        <v>45840</v>
      </c>
      <c r="G286" s="114">
        <v>45840</v>
      </c>
      <c r="H286" s="64" t="s">
        <v>952</v>
      </c>
      <c r="I286" s="64" t="s">
        <v>1414</v>
      </c>
      <c r="J286" s="10" t="s">
        <v>1474</v>
      </c>
      <c r="K286" s="64" t="s">
        <v>255</v>
      </c>
    </row>
    <row r="287" spans="1:11" ht="15.5">
      <c r="A287" s="611">
        <v>283</v>
      </c>
      <c r="B287" s="3">
        <v>6</v>
      </c>
      <c r="C287" s="669" t="s">
        <v>53</v>
      </c>
      <c r="D287" s="617" t="str">
        <f>IFERROR(VLOOKUP(C287,Foundation!$C$5:$D$427,2,0),"")</f>
        <v>DD60+3</v>
      </c>
      <c r="E287" s="1029" t="s">
        <v>405</v>
      </c>
      <c r="F287" s="38">
        <v>45842</v>
      </c>
      <c r="G287" s="38">
        <v>45842</v>
      </c>
      <c r="H287" s="64" t="s">
        <v>952</v>
      </c>
      <c r="I287" s="64" t="s">
        <v>1414</v>
      </c>
      <c r="J287" s="10" t="s">
        <v>1474</v>
      </c>
      <c r="K287" s="64" t="s">
        <v>255</v>
      </c>
    </row>
    <row r="288" spans="1:11" ht="15.5">
      <c r="A288" s="611">
        <v>284</v>
      </c>
      <c r="B288" s="3">
        <v>7</v>
      </c>
      <c r="C288" s="669" t="s">
        <v>428</v>
      </c>
      <c r="D288" s="617" t="str">
        <f>IFERROR(VLOOKUP(C288,Foundation!$C$5:$D$427,2,0),"")</f>
        <v>DA-3</v>
      </c>
      <c r="E288" s="1029" t="s">
        <v>405</v>
      </c>
      <c r="F288" s="38">
        <v>45842</v>
      </c>
      <c r="G288" s="38">
        <v>45842</v>
      </c>
      <c r="H288" s="64" t="s">
        <v>952</v>
      </c>
      <c r="I288" s="64" t="s">
        <v>1414</v>
      </c>
      <c r="J288" s="10" t="s">
        <v>1474</v>
      </c>
      <c r="K288" s="64" t="s">
        <v>255</v>
      </c>
    </row>
    <row r="289" spans="1:11" ht="15.5">
      <c r="A289" s="611">
        <v>285</v>
      </c>
      <c r="B289" s="3">
        <v>8</v>
      </c>
      <c r="C289" s="669" t="s">
        <v>54</v>
      </c>
      <c r="D289" s="617" t="str">
        <f>IFERROR(VLOOKUP(C289,Foundation!$C$5:$D$427,2,0),"")</f>
        <v>DB1+0</v>
      </c>
      <c r="E289" s="1029" t="s">
        <v>405</v>
      </c>
      <c r="F289" s="38">
        <v>45842</v>
      </c>
      <c r="G289" s="38">
        <v>45842</v>
      </c>
      <c r="H289" s="64" t="s">
        <v>952</v>
      </c>
      <c r="I289" s="64" t="s">
        <v>1414</v>
      </c>
      <c r="J289" s="10" t="s">
        <v>1474</v>
      </c>
      <c r="K289" s="64" t="s">
        <v>255</v>
      </c>
    </row>
    <row r="290" spans="1:11" ht="15.5">
      <c r="A290" s="611">
        <v>286</v>
      </c>
      <c r="B290" s="3">
        <v>9</v>
      </c>
      <c r="C290" s="669" t="s">
        <v>179</v>
      </c>
      <c r="D290" s="617" t="str">
        <f>IFERROR(VLOOKUP(C290,Foundation!$C$5:$D$427,2,0),"")</f>
        <v>DA+0</v>
      </c>
      <c r="E290" s="1029" t="s">
        <v>405</v>
      </c>
      <c r="F290" s="38">
        <v>45842</v>
      </c>
      <c r="G290" s="38">
        <v>45842</v>
      </c>
      <c r="H290" s="64" t="s">
        <v>952</v>
      </c>
      <c r="I290" s="64" t="s">
        <v>1414</v>
      </c>
      <c r="J290" s="10" t="s">
        <v>1474</v>
      </c>
      <c r="K290" s="64" t="s">
        <v>255</v>
      </c>
    </row>
    <row r="291" spans="1:11" ht="15.5">
      <c r="A291" s="611">
        <v>287</v>
      </c>
      <c r="B291" s="3">
        <v>10</v>
      </c>
      <c r="C291" s="669" t="s">
        <v>52</v>
      </c>
      <c r="D291" s="617" t="str">
        <f>IFERROR(VLOOKUP(C291,Foundation!$C$5:$D$427,2,0),"")</f>
        <v>DD60+3</v>
      </c>
      <c r="E291" s="1029" t="s">
        <v>405</v>
      </c>
      <c r="F291" s="38">
        <v>45843</v>
      </c>
      <c r="G291" s="38">
        <v>45843</v>
      </c>
      <c r="H291" s="64" t="s">
        <v>952</v>
      </c>
      <c r="I291" s="64" t="s">
        <v>1414</v>
      </c>
      <c r="J291" s="10" t="s">
        <v>1474</v>
      </c>
      <c r="K291" s="64" t="s">
        <v>255</v>
      </c>
    </row>
    <row r="292" spans="1:11" ht="15.5">
      <c r="A292" s="611">
        <v>288</v>
      </c>
      <c r="B292" s="3">
        <v>11</v>
      </c>
      <c r="C292" s="669" t="s">
        <v>168</v>
      </c>
      <c r="D292" s="617" t="str">
        <f>IFERROR(VLOOKUP(C292,Foundation!$C$5:$D$427,2,0),"")</f>
        <v>DB2+3</v>
      </c>
      <c r="E292" s="1029" t="s">
        <v>405</v>
      </c>
      <c r="F292" s="38">
        <v>45844</v>
      </c>
      <c r="G292" s="38">
        <v>45844</v>
      </c>
      <c r="H292" s="64" t="s">
        <v>952</v>
      </c>
      <c r="I292" s="64" t="s">
        <v>1414</v>
      </c>
      <c r="J292" s="10" t="s">
        <v>1474</v>
      </c>
      <c r="K292" s="64" t="s">
        <v>255</v>
      </c>
    </row>
    <row r="293" spans="1:11" ht="15.5">
      <c r="A293" s="611">
        <v>289</v>
      </c>
      <c r="B293" s="3">
        <v>12</v>
      </c>
      <c r="C293" s="669" t="s">
        <v>72</v>
      </c>
      <c r="D293" s="617" t="str">
        <f>IFERROR(VLOOKUP(C293,Foundation!$C$5:$D$427,2,0),"")</f>
        <v>DB1+3</v>
      </c>
      <c r="E293" s="1029" t="s">
        <v>405</v>
      </c>
      <c r="F293" s="38">
        <v>45844</v>
      </c>
      <c r="G293" s="38">
        <v>45844</v>
      </c>
      <c r="H293" s="64" t="s">
        <v>952</v>
      </c>
      <c r="I293" s="64" t="s">
        <v>1414</v>
      </c>
      <c r="J293" s="10" t="s">
        <v>1474</v>
      </c>
      <c r="K293" s="64" t="s">
        <v>255</v>
      </c>
    </row>
    <row r="294" spans="1:11" ht="15.5">
      <c r="A294" s="611">
        <v>290</v>
      </c>
      <c r="B294" s="3">
        <v>13</v>
      </c>
      <c r="C294" s="669" t="s">
        <v>268</v>
      </c>
      <c r="D294" s="617" t="str">
        <f>IFERROR(VLOOKUP(C294,Foundation!$C$5:$D$427,2,0),"")</f>
        <v>DD60+0</v>
      </c>
      <c r="E294" s="1029" t="s">
        <v>405</v>
      </c>
      <c r="F294" s="38">
        <v>45853</v>
      </c>
      <c r="G294" s="38">
        <v>45853</v>
      </c>
      <c r="H294" s="64" t="s">
        <v>952</v>
      </c>
      <c r="I294" s="72" t="s">
        <v>1479</v>
      </c>
      <c r="J294" s="10" t="s">
        <v>1474</v>
      </c>
      <c r="K294" s="64" t="s">
        <v>255</v>
      </c>
    </row>
    <row r="295" spans="1:11" ht="15.5">
      <c r="A295" s="611">
        <v>291</v>
      </c>
      <c r="B295" s="3">
        <v>14</v>
      </c>
      <c r="C295" s="669" t="s">
        <v>1250</v>
      </c>
      <c r="D295" s="617" t="str">
        <f>IFERROR(VLOOKUP(C295,Foundation!$C$5:$D$427,2,0),"")</f>
        <v>DD45+0</v>
      </c>
      <c r="E295" s="1029" t="s">
        <v>405</v>
      </c>
      <c r="F295" s="38">
        <v>45853</v>
      </c>
      <c r="G295" s="38">
        <v>45853</v>
      </c>
      <c r="H295" s="64" t="s">
        <v>952</v>
      </c>
      <c r="I295" s="72" t="s">
        <v>1479</v>
      </c>
      <c r="J295" s="10" t="s">
        <v>1474</v>
      </c>
      <c r="K295" s="64" t="s">
        <v>255</v>
      </c>
    </row>
    <row r="296" spans="1:11" ht="15.5">
      <c r="A296" s="611">
        <v>292</v>
      </c>
      <c r="B296" s="3">
        <v>15</v>
      </c>
      <c r="C296" s="669" t="s">
        <v>1252</v>
      </c>
      <c r="D296" s="617" t="str">
        <f>IFERROR(VLOOKUP(C296,Foundation!$C$5:$D$427,2,0),"")</f>
        <v>DA+0</v>
      </c>
      <c r="E296" s="1029" t="s">
        <v>405</v>
      </c>
      <c r="F296" s="38">
        <v>45853</v>
      </c>
      <c r="G296" s="38">
        <v>45853</v>
      </c>
      <c r="H296" s="64" t="s">
        <v>952</v>
      </c>
      <c r="I296" s="72" t="s">
        <v>1479</v>
      </c>
      <c r="J296" s="10" t="s">
        <v>1474</v>
      </c>
      <c r="K296" s="64" t="s">
        <v>255</v>
      </c>
    </row>
    <row r="297" spans="1:11" ht="15.5">
      <c r="A297" s="611">
        <v>293</v>
      </c>
      <c r="B297" s="3">
        <v>1</v>
      </c>
      <c r="C297" s="669" t="s">
        <v>206</v>
      </c>
      <c r="D297" s="617" t="str">
        <f>IFERROR(VLOOKUP(C297,Foundation!$C$5:$D$427,2,0),"")</f>
        <v>DA+9</v>
      </c>
      <c r="E297" s="1029" t="s">
        <v>405</v>
      </c>
      <c r="F297" s="38">
        <v>45967</v>
      </c>
      <c r="G297" s="38">
        <v>45967</v>
      </c>
      <c r="H297" s="64" t="s">
        <v>952</v>
      </c>
      <c r="I297" s="72" t="s">
        <v>1212</v>
      </c>
      <c r="J297" s="3" t="s">
        <v>1549</v>
      </c>
      <c r="K297" s="64" t="s">
        <v>255</v>
      </c>
    </row>
    <row r="298" spans="1:11" ht="15.5">
      <c r="A298" s="611">
        <v>294</v>
      </c>
      <c r="B298" s="3">
        <v>2</v>
      </c>
      <c r="C298" s="669" t="s">
        <v>76</v>
      </c>
      <c r="D298" s="617" t="str">
        <f>IFERROR(VLOOKUP(C298,Foundation!$C$5:$D$427,2,0),"")</f>
        <v>DA+9</v>
      </c>
      <c r="E298" s="1029" t="s">
        <v>405</v>
      </c>
      <c r="F298" s="38">
        <v>45967</v>
      </c>
      <c r="G298" s="38">
        <v>45967</v>
      </c>
      <c r="H298" s="64" t="s">
        <v>952</v>
      </c>
      <c r="I298" s="72" t="s">
        <v>1212</v>
      </c>
      <c r="J298" s="3" t="s">
        <v>1549</v>
      </c>
      <c r="K298" s="64" t="s">
        <v>255</v>
      </c>
    </row>
    <row r="299" spans="1:11" ht="15.5">
      <c r="A299" s="611">
        <v>295</v>
      </c>
      <c r="B299" s="3">
        <v>3</v>
      </c>
      <c r="C299" s="669" t="s">
        <v>1791</v>
      </c>
      <c r="D299" s="617" t="s">
        <v>1227</v>
      </c>
      <c r="E299" s="1029" t="s">
        <v>405</v>
      </c>
      <c r="F299" s="38">
        <v>45967</v>
      </c>
      <c r="G299" s="38">
        <v>45967</v>
      </c>
      <c r="H299" s="64" t="s">
        <v>952</v>
      </c>
      <c r="I299" s="72" t="s">
        <v>1212</v>
      </c>
      <c r="J299" s="3" t="s">
        <v>1549</v>
      </c>
      <c r="K299" s="64" t="s">
        <v>255</v>
      </c>
    </row>
    <row r="300" spans="1:11" ht="15.5">
      <c r="A300" s="611">
        <v>296</v>
      </c>
      <c r="B300" s="3">
        <v>4</v>
      </c>
      <c r="C300" s="669" t="s">
        <v>7</v>
      </c>
      <c r="D300" s="617" t="str">
        <f>IFERROR(VLOOKUP(C300,Foundation!$C$5:$D$427,2,0),"")</f>
        <v>DB1+6</v>
      </c>
      <c r="E300" s="1029" t="s">
        <v>405</v>
      </c>
      <c r="F300" s="38">
        <v>45968</v>
      </c>
      <c r="G300" s="38">
        <v>45968</v>
      </c>
      <c r="H300" s="64" t="s">
        <v>952</v>
      </c>
      <c r="I300" s="72" t="s">
        <v>1212</v>
      </c>
      <c r="J300" s="3" t="s">
        <v>1549</v>
      </c>
      <c r="K300" s="64" t="s">
        <v>255</v>
      </c>
    </row>
    <row r="301" spans="1:11" ht="15.5">
      <c r="A301" s="611">
        <v>297</v>
      </c>
      <c r="B301" s="3">
        <v>5</v>
      </c>
      <c r="C301" s="669" t="s">
        <v>1246</v>
      </c>
      <c r="D301" s="617" t="str">
        <f>IFERROR(VLOOKUP(C301,Foundation!$C$5:$D$427,2,0),"")</f>
        <v>DB1+9</v>
      </c>
      <c r="E301" s="1029" t="s">
        <v>405</v>
      </c>
      <c r="F301" s="38">
        <v>45968</v>
      </c>
      <c r="G301" s="38">
        <v>45968</v>
      </c>
      <c r="H301" s="64" t="s">
        <v>952</v>
      </c>
      <c r="I301" s="72" t="s">
        <v>1212</v>
      </c>
      <c r="J301" s="3" t="s">
        <v>1549</v>
      </c>
      <c r="K301" s="64" t="s">
        <v>255</v>
      </c>
    </row>
    <row r="302" spans="1:11" ht="15.5">
      <c r="A302" s="611">
        <v>298</v>
      </c>
      <c r="B302" s="3">
        <v>6</v>
      </c>
      <c r="C302" s="669" t="s">
        <v>1247</v>
      </c>
      <c r="D302" s="617" t="str">
        <f>IFERROR(VLOOKUP(C302,Foundation!$C$5:$D$427,2,0),"")</f>
        <v>DB1+12</v>
      </c>
      <c r="E302" s="1029" t="s">
        <v>405</v>
      </c>
      <c r="F302" s="38">
        <v>45968</v>
      </c>
      <c r="G302" s="38">
        <v>45968</v>
      </c>
      <c r="H302" s="64" t="s">
        <v>952</v>
      </c>
      <c r="I302" s="72" t="s">
        <v>1212</v>
      </c>
      <c r="J302" s="3" t="s">
        <v>1549</v>
      </c>
      <c r="K302" s="64" t="s">
        <v>255</v>
      </c>
    </row>
    <row r="303" spans="1:11" ht="15.5">
      <c r="A303" s="611">
        <v>299</v>
      </c>
      <c r="B303" s="3">
        <v>1</v>
      </c>
      <c r="C303" s="669" t="s">
        <v>78</v>
      </c>
      <c r="D303" s="617" t="str">
        <f>IFERROR(VLOOKUP(C303,Foundation!$C$5:$D$427,2,0),"")</f>
        <v>DB1+0</v>
      </c>
      <c r="E303" s="1029" t="s">
        <v>405</v>
      </c>
      <c r="F303" s="38">
        <v>46055</v>
      </c>
      <c r="G303" s="38">
        <v>46055</v>
      </c>
      <c r="H303" s="64" t="s">
        <v>952</v>
      </c>
      <c r="I303" s="72" t="s">
        <v>1479</v>
      </c>
      <c r="J303" s="3" t="s">
        <v>1612</v>
      </c>
      <c r="K303" s="64" t="s">
        <v>255</v>
      </c>
    </row>
    <row r="304" spans="1:11" ht="15.5">
      <c r="A304" s="611">
        <f t="shared" ref="A304:A313" si="6">A303+1</f>
        <v>300</v>
      </c>
      <c r="B304" s="3">
        <v>2</v>
      </c>
      <c r="C304" s="669" t="s">
        <v>644</v>
      </c>
      <c r="D304" s="617" t="str">
        <f>IFERROR(VLOOKUP(C304,Foundation!$C$5:$D$427,2,0),"")</f>
        <v>DA-1.5</v>
      </c>
      <c r="E304" s="1029" t="s">
        <v>405</v>
      </c>
      <c r="F304" s="38">
        <v>46055</v>
      </c>
      <c r="G304" s="38">
        <v>46055</v>
      </c>
      <c r="H304" s="64" t="s">
        <v>952</v>
      </c>
      <c r="I304" s="72" t="s">
        <v>1479</v>
      </c>
      <c r="J304" s="3" t="s">
        <v>1612</v>
      </c>
      <c r="K304" s="64" t="s">
        <v>255</v>
      </c>
    </row>
    <row r="305" spans="1:11" ht="15.5">
      <c r="A305" s="611">
        <f t="shared" si="6"/>
        <v>301</v>
      </c>
      <c r="B305" s="3">
        <v>3</v>
      </c>
      <c r="C305" s="1187" t="s">
        <v>1777</v>
      </c>
      <c r="D305" s="617" t="s">
        <v>215</v>
      </c>
      <c r="E305" s="1029" t="s">
        <v>405</v>
      </c>
      <c r="F305" s="38">
        <v>46055</v>
      </c>
      <c r="G305" s="38">
        <v>46055</v>
      </c>
      <c r="H305" s="64" t="s">
        <v>952</v>
      </c>
      <c r="I305" s="72" t="s">
        <v>1479</v>
      </c>
      <c r="J305" s="3" t="s">
        <v>1612</v>
      </c>
      <c r="K305" s="64" t="s">
        <v>255</v>
      </c>
    </row>
    <row r="306" spans="1:11" ht="15.5">
      <c r="A306" s="611">
        <f t="shared" si="6"/>
        <v>302</v>
      </c>
      <c r="B306" s="3">
        <v>4</v>
      </c>
      <c r="C306" s="669" t="s">
        <v>592</v>
      </c>
      <c r="D306" s="617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64" t="s">
        <v>952</v>
      </c>
      <c r="I306" s="72" t="s">
        <v>1479</v>
      </c>
      <c r="J306" s="3" t="s">
        <v>1612</v>
      </c>
      <c r="K306" s="64" t="s">
        <v>255</v>
      </c>
    </row>
    <row r="307" spans="1:11" ht="15.5">
      <c r="A307" s="611">
        <f t="shared" si="6"/>
        <v>303</v>
      </c>
      <c r="B307" s="3">
        <v>5</v>
      </c>
      <c r="C307" s="669" t="s">
        <v>599</v>
      </c>
      <c r="D307" s="617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64" t="s">
        <v>952</v>
      </c>
      <c r="I307" s="72" t="s">
        <v>1479</v>
      </c>
      <c r="J307" s="3" t="s">
        <v>1612</v>
      </c>
      <c r="K307" s="64" t="s">
        <v>255</v>
      </c>
    </row>
    <row r="308" spans="1:11" ht="15.5">
      <c r="A308" s="611">
        <f t="shared" si="6"/>
        <v>304</v>
      </c>
      <c r="B308" s="3">
        <v>6</v>
      </c>
      <c r="C308" s="669" t="s">
        <v>425</v>
      </c>
      <c r="D308" s="617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64" t="s">
        <v>952</v>
      </c>
      <c r="I308" s="72" t="s">
        <v>1479</v>
      </c>
      <c r="J308" s="3" t="s">
        <v>1612</v>
      </c>
      <c r="K308" s="64" t="s">
        <v>255</v>
      </c>
    </row>
    <row r="309" spans="1:11" ht="15.5">
      <c r="A309" s="611">
        <f t="shared" si="6"/>
        <v>305</v>
      </c>
      <c r="B309" s="3">
        <v>1</v>
      </c>
      <c r="C309" s="1187" t="s">
        <v>1778</v>
      </c>
      <c r="D309" s="617" t="s">
        <v>430</v>
      </c>
      <c r="E309" s="3" t="s">
        <v>405</v>
      </c>
      <c r="F309" s="38">
        <v>46099</v>
      </c>
      <c r="G309" s="38">
        <v>46099</v>
      </c>
      <c r="H309" s="64" t="s">
        <v>952</v>
      </c>
      <c r="I309" s="72" t="s">
        <v>1491</v>
      </c>
      <c r="J309" s="3" t="s">
        <v>1660</v>
      </c>
      <c r="K309" s="64" t="s">
        <v>255</v>
      </c>
    </row>
    <row r="310" spans="1:11" ht="15.5">
      <c r="A310" s="611">
        <f t="shared" si="6"/>
        <v>306</v>
      </c>
      <c r="B310" s="3">
        <v>2</v>
      </c>
      <c r="C310" s="1187" t="s">
        <v>1779</v>
      </c>
      <c r="D310" s="617" t="s">
        <v>215</v>
      </c>
      <c r="E310" s="3" t="s">
        <v>405</v>
      </c>
      <c r="F310" s="38">
        <v>46100</v>
      </c>
      <c r="G310" s="38">
        <v>46100</v>
      </c>
      <c r="H310" s="64" t="s">
        <v>952</v>
      </c>
      <c r="I310" s="72" t="s">
        <v>1491</v>
      </c>
      <c r="J310" s="3" t="s">
        <v>1660</v>
      </c>
      <c r="K310" s="64" t="s">
        <v>255</v>
      </c>
    </row>
    <row r="311" spans="1:11" ht="15.5">
      <c r="A311" s="611">
        <f t="shared" si="6"/>
        <v>307</v>
      </c>
      <c r="B311" s="3">
        <v>3</v>
      </c>
      <c r="C311" s="669" t="s">
        <v>12</v>
      </c>
      <c r="D311" s="617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64" t="s">
        <v>952</v>
      </c>
      <c r="I311" s="72" t="s">
        <v>1491</v>
      </c>
      <c r="J311" s="3" t="s">
        <v>1660</v>
      </c>
      <c r="K311" s="64" t="s">
        <v>255</v>
      </c>
    </row>
    <row r="312" spans="1:11" ht="15.5">
      <c r="A312" s="611">
        <f t="shared" si="6"/>
        <v>308</v>
      </c>
      <c r="B312" s="3">
        <v>1</v>
      </c>
      <c r="C312" s="669" t="s">
        <v>591</v>
      </c>
      <c r="D312" s="617" t="str">
        <f>IFERROR(VLOOKUP(C312,Foundation!$C$5:$D$427,2,0),"")</f>
        <v>DA+6</v>
      </c>
      <c r="E312" s="3" t="s">
        <v>405</v>
      </c>
      <c r="F312" s="38">
        <v>46182</v>
      </c>
      <c r="G312" s="38">
        <v>46182</v>
      </c>
      <c r="H312" s="3" t="s">
        <v>952</v>
      </c>
      <c r="I312" s="72" t="s">
        <v>1150</v>
      </c>
      <c r="J312" s="3" t="s">
        <v>1800</v>
      </c>
      <c r="K312" s="3" t="s">
        <v>255</v>
      </c>
    </row>
    <row r="313" spans="1:11" ht="15.5">
      <c r="A313" s="628">
        <f t="shared" si="6"/>
        <v>309</v>
      </c>
      <c r="B313" s="177"/>
      <c r="C313" s="1273" t="s">
        <v>1071</v>
      </c>
      <c r="D313" s="1028" t="str">
        <f>IFERROR(VLOOKUP(C313,Foundation!$C$5:$D$427,2,0),"")</f>
        <v>DB1+9</v>
      </c>
      <c r="E313" s="177"/>
      <c r="F313" s="177"/>
      <c r="G313" s="177"/>
      <c r="H313" s="177"/>
      <c r="I313" s="177"/>
      <c r="J313" s="931"/>
      <c r="K313" s="177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98" priority="1"/>
    <cfRule type="duplicateValues" dxfId="197" priority="2"/>
  </conditionalFormatting>
  <conditionalFormatting sqref="C3:C4 C35:C65307">
    <cfRule type="expression" dxfId="196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5" priority="29"/>
    <cfRule type="duplicateValues" dxfId="194" priority="30"/>
    <cfRule type="duplicateValues" dxfId="193" priority="31"/>
  </conditionalFormatting>
  <conditionalFormatting sqref="C5:C10">
    <cfRule type="duplicateValues" dxfId="192" priority="606"/>
  </conditionalFormatting>
  <conditionalFormatting sqref="C11:C34">
    <cfRule type="duplicateValues" dxfId="191" priority="859"/>
  </conditionalFormatting>
  <conditionalFormatting sqref="C35:C65307">
    <cfRule type="expression" dxfId="190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3"/>
  <sheetViews>
    <sheetView topLeftCell="A263" zoomScaleNormal="100" workbookViewId="0">
      <selection activeCell="D263" sqref="D1:D1048576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99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618" t="str">
        <f>OPGW!B2</f>
        <v>KEC International Limited</v>
      </c>
      <c r="C1" s="1618"/>
      <c r="D1" s="1618"/>
      <c r="E1" s="1618"/>
      <c r="F1" s="1618"/>
      <c r="G1" s="1618"/>
      <c r="H1" s="1618"/>
      <c r="I1" s="1618"/>
      <c r="J1" s="1618"/>
      <c r="K1" s="1618"/>
    </row>
    <row r="2" spans="2:11">
      <c r="B2" s="1618" t="str">
        <f>OPGW!B3</f>
        <v xml:space="preserve"> TA413 : 765 KV D/C Bikaner III - Neemrana II TL02</v>
      </c>
      <c r="C2" s="1618"/>
      <c r="D2" s="1618"/>
      <c r="E2" s="1618"/>
      <c r="F2" s="1618"/>
      <c r="G2" s="1618"/>
      <c r="H2" s="1618"/>
      <c r="I2" s="1618"/>
      <c r="J2" s="1618"/>
      <c r="K2" s="1618"/>
    </row>
    <row r="3" spans="2:11" ht="15.5">
      <c r="B3" s="1617" t="s">
        <v>93</v>
      </c>
      <c r="C3" s="1617"/>
      <c r="D3" s="1617"/>
      <c r="E3" s="1617"/>
      <c r="F3" s="1617"/>
      <c r="G3" s="1617"/>
      <c r="H3" s="1617"/>
      <c r="I3" s="1617"/>
      <c r="J3" s="1192" t="str">
        <f>TA413_PBNTL!M1</f>
        <v>26.06.2026</v>
      </c>
      <c r="K3" s="10"/>
    </row>
    <row r="4" spans="2:11" ht="27.75" customHeight="1">
      <c r="B4" s="73" t="s">
        <v>41</v>
      </c>
      <c r="C4" s="73" t="s">
        <v>42</v>
      </c>
      <c r="D4" s="453" t="s">
        <v>43</v>
      </c>
      <c r="E4" s="73" t="s">
        <v>44</v>
      </c>
      <c r="F4" s="1135" t="s">
        <v>46</v>
      </c>
      <c r="G4" s="1135" t="s">
        <v>47</v>
      </c>
      <c r="H4" s="1136" t="s">
        <v>87</v>
      </c>
      <c r="I4" s="1137" t="s">
        <v>48</v>
      </c>
      <c r="J4" s="73" t="s">
        <v>1</v>
      </c>
      <c r="K4" s="73" t="s">
        <v>1662</v>
      </c>
    </row>
    <row r="5" spans="2:11">
      <c r="B5" s="10">
        <v>1</v>
      </c>
      <c r="C5" s="10">
        <v>1</v>
      </c>
      <c r="D5" s="75" t="s">
        <v>580</v>
      </c>
      <c r="E5" s="65" t="str">
        <f>VLOOKUP(D5,Erection!$C$5:$D$51,2,0)</f>
        <v>DA+6</v>
      </c>
      <c r="F5" s="67">
        <v>45669</v>
      </c>
      <c r="G5" s="67">
        <v>45669</v>
      </c>
      <c r="H5" s="10" t="s">
        <v>1194</v>
      </c>
      <c r="I5" s="63" t="s">
        <v>1195</v>
      </c>
      <c r="J5" s="1134" t="s">
        <v>964</v>
      </c>
      <c r="K5" s="10"/>
    </row>
    <row r="6" spans="2:11">
      <c r="B6" s="10">
        <v>2</v>
      </c>
      <c r="C6" s="10">
        <v>2</v>
      </c>
      <c r="D6" s="75" t="s">
        <v>583</v>
      </c>
      <c r="E6" s="65" t="str">
        <f>VLOOKUP(D6,Erection!$C$5:$D$51,2,0)</f>
        <v>DA+0</v>
      </c>
      <c r="F6" s="67">
        <v>45670</v>
      </c>
      <c r="G6" s="67">
        <v>45670</v>
      </c>
      <c r="H6" s="10" t="s">
        <v>1194</v>
      </c>
      <c r="I6" s="63" t="s">
        <v>1195</v>
      </c>
      <c r="J6" s="1134" t="s">
        <v>964</v>
      </c>
      <c r="K6" s="10"/>
    </row>
    <row r="7" spans="2:11">
      <c r="B7" s="10">
        <v>3</v>
      </c>
      <c r="C7" s="10">
        <v>3</v>
      </c>
      <c r="D7" s="75" t="s">
        <v>586</v>
      </c>
      <c r="E7" s="65" t="str">
        <f>VLOOKUP(D7,Erection!$C$5:$D$51,2,0)</f>
        <v>DA-3</v>
      </c>
      <c r="F7" s="67">
        <v>45671</v>
      </c>
      <c r="G7" s="67">
        <v>45671</v>
      </c>
      <c r="H7" s="10" t="s">
        <v>1194</v>
      </c>
      <c r="I7" s="63" t="s">
        <v>1195</v>
      </c>
      <c r="J7" s="1134" t="s">
        <v>964</v>
      </c>
      <c r="K7" s="10"/>
    </row>
    <row r="8" spans="2:11" ht="16.5" customHeight="1">
      <c r="B8" s="10">
        <v>4</v>
      </c>
      <c r="C8" s="10">
        <v>4</v>
      </c>
      <c r="D8" s="669" t="s">
        <v>579</v>
      </c>
      <c r="E8" s="65" t="str">
        <f>VLOOKUP(D8,Erection!$C$5:$D$51,2,0)</f>
        <v>DA+1.5</v>
      </c>
      <c r="F8" s="67">
        <v>45672</v>
      </c>
      <c r="G8" s="67">
        <v>45672</v>
      </c>
      <c r="H8" s="10" t="s">
        <v>1194</v>
      </c>
      <c r="I8" s="63" t="s">
        <v>1195</v>
      </c>
      <c r="J8" s="1134" t="s">
        <v>964</v>
      </c>
      <c r="K8" s="10"/>
    </row>
    <row r="9" spans="2:11">
      <c r="B9" s="10">
        <v>5</v>
      </c>
      <c r="C9" s="10">
        <v>5</v>
      </c>
      <c r="D9" s="75" t="s">
        <v>582</v>
      </c>
      <c r="E9" s="65" t="str">
        <f>VLOOKUP(D9,Erection!$C$5:$D$51,2,0)</f>
        <v>DA+3</v>
      </c>
      <c r="F9" s="67">
        <v>45673</v>
      </c>
      <c r="G9" s="67">
        <v>45673</v>
      </c>
      <c r="H9" s="10" t="s">
        <v>1194</v>
      </c>
      <c r="I9" s="63" t="s">
        <v>1195</v>
      </c>
      <c r="J9" s="1134" t="s">
        <v>964</v>
      </c>
      <c r="K9" s="10"/>
    </row>
    <row r="10" spans="2:11">
      <c r="B10" s="10">
        <v>6</v>
      </c>
      <c r="C10" s="10">
        <v>6</v>
      </c>
      <c r="D10" s="75" t="s">
        <v>581</v>
      </c>
      <c r="E10" s="65" t="str">
        <f>VLOOKUP(D10,Erection!$C$5:$D$51,2,0)</f>
        <v>DA+9</v>
      </c>
      <c r="F10" s="67">
        <v>45676</v>
      </c>
      <c r="G10" s="67">
        <v>45676</v>
      </c>
      <c r="H10" s="10" t="s">
        <v>1194</v>
      </c>
      <c r="I10" s="63" t="s">
        <v>1195</v>
      </c>
      <c r="J10" s="1134" t="s">
        <v>964</v>
      </c>
      <c r="K10" s="10"/>
    </row>
    <row r="11" spans="2:11">
      <c r="B11" s="10">
        <v>7</v>
      </c>
      <c r="C11" s="10">
        <v>7</v>
      </c>
      <c r="D11" s="75" t="s">
        <v>585</v>
      </c>
      <c r="E11" s="65" t="str">
        <f>VLOOKUP(D11,Erection!$C$5:$D$51,2,0)</f>
        <v>DA+1.5</v>
      </c>
      <c r="F11" s="67">
        <v>45678</v>
      </c>
      <c r="G11" s="67">
        <v>45678</v>
      </c>
      <c r="H11" s="10" t="s">
        <v>1194</v>
      </c>
      <c r="I11" s="63" t="s">
        <v>1195</v>
      </c>
      <c r="J11" s="1134" t="s">
        <v>964</v>
      </c>
      <c r="K11" s="10"/>
    </row>
    <row r="12" spans="2:11">
      <c r="B12" s="10">
        <v>8</v>
      </c>
      <c r="C12" s="10">
        <v>8</v>
      </c>
      <c r="D12" s="75" t="s">
        <v>588</v>
      </c>
      <c r="E12" s="65" t="str">
        <f>VLOOKUP(D12,Erection!$C$5:$D$51,2,0)</f>
        <v>DA+3</v>
      </c>
      <c r="F12" s="67">
        <v>45679</v>
      </c>
      <c r="G12" s="67">
        <v>45679</v>
      </c>
      <c r="H12" s="10" t="s">
        <v>1194</v>
      </c>
      <c r="I12" s="63" t="s">
        <v>1195</v>
      </c>
      <c r="J12" s="1134" t="s">
        <v>964</v>
      </c>
      <c r="K12" s="10"/>
    </row>
    <row r="13" spans="2:11">
      <c r="B13" s="10">
        <v>9</v>
      </c>
      <c r="C13" s="10">
        <v>9</v>
      </c>
      <c r="D13" s="75" t="s">
        <v>578</v>
      </c>
      <c r="E13" s="65" t="str">
        <f>VLOOKUP(D13,Erection!$C$5:$D$51,2,0)</f>
        <v>DA+9</v>
      </c>
      <c r="F13" s="67">
        <v>45682</v>
      </c>
      <c r="G13" s="67">
        <v>45682</v>
      </c>
      <c r="H13" s="10" t="s">
        <v>1194</v>
      </c>
      <c r="I13" s="63" t="s">
        <v>1195</v>
      </c>
      <c r="J13" s="1134" t="s">
        <v>964</v>
      </c>
      <c r="K13" s="10"/>
    </row>
    <row r="14" spans="2:11">
      <c r="B14" s="10">
        <v>10</v>
      </c>
      <c r="C14" s="10">
        <v>10</v>
      </c>
      <c r="D14" s="75" t="s">
        <v>587</v>
      </c>
      <c r="E14" s="65" t="str">
        <f>VLOOKUP(D14,Erection!$C$5:$D$51,2,0)</f>
        <v>DA+1.5</v>
      </c>
      <c r="F14" s="67">
        <v>45684</v>
      </c>
      <c r="G14" s="67">
        <v>45684</v>
      </c>
      <c r="H14" s="10" t="s">
        <v>1194</v>
      </c>
      <c r="I14" s="63" t="s">
        <v>1195</v>
      </c>
      <c r="J14" s="1134" t="s">
        <v>964</v>
      </c>
      <c r="K14" s="10"/>
    </row>
    <row r="15" spans="2:11">
      <c r="B15" s="10">
        <v>11</v>
      </c>
      <c r="C15" s="10">
        <v>11</v>
      </c>
      <c r="D15" s="75" t="s">
        <v>590</v>
      </c>
      <c r="E15" s="65" t="str">
        <f>VLOOKUP(D15,Erection!$C$5:$D$51,2,0)</f>
        <v>DA+6</v>
      </c>
      <c r="F15" s="67">
        <v>45686</v>
      </c>
      <c r="G15" s="67">
        <v>45686</v>
      </c>
      <c r="H15" s="10" t="s">
        <v>1194</v>
      </c>
      <c r="I15" s="63" t="s">
        <v>1195</v>
      </c>
      <c r="J15" s="1134" t="s">
        <v>964</v>
      </c>
      <c r="K15" s="10"/>
    </row>
    <row r="16" spans="2:11">
      <c r="B16" s="10">
        <v>12</v>
      </c>
      <c r="C16" s="10">
        <v>12</v>
      </c>
      <c r="D16" s="75" t="s">
        <v>594</v>
      </c>
      <c r="E16" s="65" t="str">
        <f>VLOOKUP(D16,Erection!$C$5:$D$51,2,0)</f>
        <v>DA+9</v>
      </c>
      <c r="F16" s="67">
        <v>45687</v>
      </c>
      <c r="G16" s="67">
        <v>45687</v>
      </c>
      <c r="H16" s="10" t="s">
        <v>1194</v>
      </c>
      <c r="I16" s="63" t="s">
        <v>1195</v>
      </c>
      <c r="J16" s="1134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65" t="str">
        <f>VLOOKUP(D17,Erection!$C$5:$D$51,2,0)</f>
        <v>DA+3</v>
      </c>
      <c r="F17" s="67">
        <v>45688</v>
      </c>
      <c r="G17" s="67">
        <v>45688</v>
      </c>
      <c r="H17" s="10" t="s">
        <v>1194</v>
      </c>
      <c r="I17" s="63" t="s">
        <v>1195</v>
      </c>
      <c r="J17" s="1134" t="s">
        <v>964</v>
      </c>
      <c r="K17" s="10"/>
    </row>
    <row r="18" spans="2:11">
      <c r="B18" s="10">
        <v>14</v>
      </c>
      <c r="C18" s="10">
        <v>1</v>
      </c>
      <c r="D18" s="75" t="s">
        <v>577</v>
      </c>
      <c r="E18" s="65" t="str">
        <f>VLOOKUP(D18,Erection!$C$5:$D$51,2,0)</f>
        <v>DA+9</v>
      </c>
      <c r="F18" s="67">
        <v>45690</v>
      </c>
      <c r="G18" s="67">
        <v>45690</v>
      </c>
      <c r="H18" s="10" t="s">
        <v>1194</v>
      </c>
      <c r="I18" s="63" t="s">
        <v>1195</v>
      </c>
      <c r="J18" s="1134" t="s">
        <v>964</v>
      </c>
      <c r="K18" s="10"/>
    </row>
    <row r="19" spans="2:11">
      <c r="B19" s="10">
        <v>15</v>
      </c>
      <c r="C19" s="10">
        <v>2</v>
      </c>
      <c r="D19" s="75" t="s">
        <v>597</v>
      </c>
      <c r="E19" s="65" t="str">
        <f>VLOOKUP(D19,Erection!$C$5:$D$51,2,0)</f>
        <v>DA+6</v>
      </c>
      <c r="F19" s="67">
        <v>45691</v>
      </c>
      <c r="G19" s="67">
        <v>45691</v>
      </c>
      <c r="H19" s="10" t="s">
        <v>1194</v>
      </c>
      <c r="I19" s="63" t="s">
        <v>1195</v>
      </c>
      <c r="J19" s="1134" t="s">
        <v>964</v>
      </c>
      <c r="K19" s="10"/>
    </row>
    <row r="20" spans="2:11">
      <c r="B20" s="10">
        <v>16</v>
      </c>
      <c r="C20" s="10">
        <v>3</v>
      </c>
      <c r="D20" s="75" t="s">
        <v>584</v>
      </c>
      <c r="E20" s="65" t="str">
        <f>VLOOKUP(D20,Erection!$C$5:$D$51,2,0)</f>
        <v>DA+0</v>
      </c>
      <c r="F20" s="67">
        <v>45692</v>
      </c>
      <c r="G20" s="67">
        <v>45692</v>
      </c>
      <c r="H20" s="10" t="s">
        <v>1194</v>
      </c>
      <c r="I20" s="63" t="s">
        <v>1195</v>
      </c>
      <c r="J20" s="1134" t="s">
        <v>964</v>
      </c>
      <c r="K20" s="10"/>
    </row>
    <row r="21" spans="2:11">
      <c r="B21" s="10">
        <v>17</v>
      </c>
      <c r="C21" s="10">
        <v>4</v>
      </c>
      <c r="D21" s="729" t="s">
        <v>434</v>
      </c>
      <c r="E21" s="65" t="str">
        <f>VLOOKUP(D21,Erection!$C$5:$D$51,2,0)</f>
        <v>DA+0</v>
      </c>
      <c r="F21" s="67">
        <v>45694</v>
      </c>
      <c r="G21" s="67">
        <v>45328</v>
      </c>
      <c r="H21" s="10" t="s">
        <v>1194</v>
      </c>
      <c r="I21" s="63" t="s">
        <v>1195</v>
      </c>
      <c r="J21" s="1134" t="s">
        <v>964</v>
      </c>
      <c r="K21" s="10"/>
    </row>
    <row r="22" spans="2:11">
      <c r="B22" s="10">
        <v>18</v>
      </c>
      <c r="C22" s="10">
        <v>5</v>
      </c>
      <c r="D22" s="75" t="s">
        <v>435</v>
      </c>
      <c r="E22" s="65" t="str">
        <f>VLOOKUP(D22,Erection!$C$5:$D$51,2,0)</f>
        <v>DA+3</v>
      </c>
      <c r="F22" s="67">
        <v>45695</v>
      </c>
      <c r="G22" s="67">
        <v>45695</v>
      </c>
      <c r="H22" s="10" t="s">
        <v>1194</v>
      </c>
      <c r="I22" s="63" t="s">
        <v>1195</v>
      </c>
      <c r="J22" s="1134" t="s">
        <v>964</v>
      </c>
      <c r="K22" s="10"/>
    </row>
    <row r="23" spans="2:11">
      <c r="B23" s="10">
        <v>19</v>
      </c>
      <c r="C23" s="10">
        <v>6</v>
      </c>
      <c r="D23" s="729" t="s">
        <v>436</v>
      </c>
      <c r="E23" s="65" t="str">
        <f>VLOOKUP(D23,Erection!$C$5:$D$51,2,0)</f>
        <v>DA+0</v>
      </c>
      <c r="F23" s="67">
        <v>45696</v>
      </c>
      <c r="G23" s="67">
        <v>45696</v>
      </c>
      <c r="H23" s="10" t="s">
        <v>1194</v>
      </c>
      <c r="I23" s="63" t="s">
        <v>1195</v>
      </c>
      <c r="J23" s="1134" t="s">
        <v>964</v>
      </c>
      <c r="K23" s="10"/>
    </row>
    <row r="24" spans="2:11">
      <c r="B24" s="10">
        <v>20</v>
      </c>
      <c r="C24" s="10">
        <v>7</v>
      </c>
      <c r="D24" s="75" t="s">
        <v>901</v>
      </c>
      <c r="E24" s="65" t="str">
        <f>VLOOKUP(D24,Erection!$C$5:$D$51,2,0)</f>
        <v>DA+6</v>
      </c>
      <c r="F24" s="67">
        <v>45697</v>
      </c>
      <c r="G24" s="67">
        <v>45697</v>
      </c>
      <c r="H24" s="10" t="s">
        <v>1194</v>
      </c>
      <c r="I24" s="63" t="s">
        <v>1195</v>
      </c>
      <c r="J24" s="1134" t="s">
        <v>964</v>
      </c>
      <c r="K24" s="10"/>
    </row>
    <row r="25" spans="2:11">
      <c r="B25" s="10">
        <v>21</v>
      </c>
      <c r="C25" s="10">
        <v>8</v>
      </c>
      <c r="D25" s="75" t="s">
        <v>902</v>
      </c>
      <c r="E25" s="65" t="str">
        <f>VLOOKUP(D25,Erection!$C$5:$D$51,2,0)</f>
        <v>DA+6</v>
      </c>
      <c r="F25" s="67">
        <v>45697</v>
      </c>
      <c r="G25" s="67">
        <v>45697</v>
      </c>
      <c r="H25" s="10" t="s">
        <v>1194</v>
      </c>
      <c r="I25" s="63" t="s">
        <v>1195</v>
      </c>
      <c r="J25" s="1134" t="s">
        <v>964</v>
      </c>
      <c r="K25" s="10"/>
    </row>
    <row r="26" spans="2:11">
      <c r="B26" s="10">
        <v>22</v>
      </c>
      <c r="C26" s="10">
        <v>9</v>
      </c>
      <c r="D26" s="75" t="s">
        <v>906</v>
      </c>
      <c r="E26" s="65" t="str">
        <f>VLOOKUP(D26,Erection!$C$5:$D$51,2,0)</f>
        <v>DA+9</v>
      </c>
      <c r="F26" s="67">
        <v>45698</v>
      </c>
      <c r="G26" s="67">
        <v>45698</v>
      </c>
      <c r="H26" s="10" t="s">
        <v>1194</v>
      </c>
      <c r="I26" s="63" t="s">
        <v>1195</v>
      </c>
      <c r="J26" s="1134" t="s">
        <v>964</v>
      </c>
      <c r="K26" s="10"/>
    </row>
    <row r="27" spans="2:11">
      <c r="B27" s="10">
        <v>23</v>
      </c>
      <c r="C27" s="10">
        <v>10</v>
      </c>
      <c r="D27" s="75" t="s">
        <v>26</v>
      </c>
      <c r="E27" s="65" t="str">
        <f>VLOOKUP(D27,Erection!$C$5:$D$51,2,0)</f>
        <v>DA+0</v>
      </c>
      <c r="F27" s="67">
        <v>45698</v>
      </c>
      <c r="G27" s="67">
        <v>45698</v>
      </c>
      <c r="H27" s="10" t="s">
        <v>1194</v>
      </c>
      <c r="I27" s="63" t="s">
        <v>1195</v>
      </c>
      <c r="J27" s="1134" t="s">
        <v>964</v>
      </c>
      <c r="K27" s="10"/>
    </row>
    <row r="28" spans="2:11">
      <c r="B28" s="10">
        <v>24</v>
      </c>
      <c r="C28" s="10">
        <v>11</v>
      </c>
      <c r="D28" s="75" t="s">
        <v>495</v>
      </c>
      <c r="E28" s="65" t="str">
        <f>VLOOKUP(D28,Erection!$C$5:$D$753,2,0)</f>
        <v>DA+3</v>
      </c>
      <c r="F28" s="738">
        <v>45697</v>
      </c>
      <c r="G28" s="738">
        <v>45697</v>
      </c>
      <c r="H28" s="65" t="s">
        <v>1194</v>
      </c>
      <c r="I28" s="64" t="s">
        <v>1226</v>
      </c>
      <c r="J28" s="1134" t="s">
        <v>964</v>
      </c>
      <c r="K28" s="10"/>
    </row>
    <row r="29" spans="2:11">
      <c r="B29" s="10">
        <v>25</v>
      </c>
      <c r="C29" s="10">
        <v>12</v>
      </c>
      <c r="D29" s="75" t="s">
        <v>496</v>
      </c>
      <c r="E29" s="65" t="str">
        <f>VLOOKUP(D29,Erection!$C$5:$D$753,2,0)</f>
        <v>DA+3</v>
      </c>
      <c r="F29" s="67">
        <v>45698</v>
      </c>
      <c r="G29" s="67">
        <v>45698</v>
      </c>
      <c r="H29" s="65" t="s">
        <v>1194</v>
      </c>
      <c r="I29" s="64" t="s">
        <v>1226</v>
      </c>
      <c r="J29" s="1134" t="s">
        <v>964</v>
      </c>
      <c r="K29" s="10"/>
    </row>
    <row r="30" spans="2:11">
      <c r="B30" s="10">
        <v>26</v>
      </c>
      <c r="C30" s="10">
        <v>13</v>
      </c>
      <c r="D30" s="75" t="s">
        <v>478</v>
      </c>
      <c r="E30" s="65" t="str">
        <f>VLOOKUP(D30,Erection!$C$5:$D$753,2,0)</f>
        <v>DA-3</v>
      </c>
      <c r="F30" s="67">
        <v>45698</v>
      </c>
      <c r="G30" s="67">
        <v>45698</v>
      </c>
      <c r="H30" s="65" t="s">
        <v>1194</v>
      </c>
      <c r="I30" s="64" t="s">
        <v>1226</v>
      </c>
      <c r="J30" s="1134" t="s">
        <v>964</v>
      </c>
      <c r="K30" s="10"/>
    </row>
    <row r="31" spans="2:11">
      <c r="B31" s="10">
        <v>27</v>
      </c>
      <c r="C31" s="10">
        <v>14</v>
      </c>
      <c r="D31" s="75" t="s">
        <v>497</v>
      </c>
      <c r="E31" s="65" t="str">
        <f>VLOOKUP(D31,Erection!$C$5:$D$753,2,0)</f>
        <v>DA+3</v>
      </c>
      <c r="F31" s="67">
        <v>45699</v>
      </c>
      <c r="G31" s="67">
        <v>45699</v>
      </c>
      <c r="H31" s="65" t="s">
        <v>1194</v>
      </c>
      <c r="I31" s="64" t="s">
        <v>1226</v>
      </c>
      <c r="J31" s="1134" t="s">
        <v>964</v>
      </c>
      <c r="K31" s="10"/>
    </row>
    <row r="32" spans="2:11">
      <c r="B32" s="10">
        <v>28</v>
      </c>
      <c r="C32" s="10">
        <v>15</v>
      </c>
      <c r="D32" s="990" t="s">
        <v>498</v>
      </c>
      <c r="E32" s="65" t="str">
        <f>VLOOKUP(D32,Erection!$C$5:$D$753,2,0)</f>
        <v>DA+3</v>
      </c>
      <c r="F32" s="67">
        <v>45699</v>
      </c>
      <c r="G32" s="67">
        <v>45699</v>
      </c>
      <c r="H32" s="65" t="s">
        <v>1194</v>
      </c>
      <c r="I32" s="64" t="s">
        <v>1226</v>
      </c>
      <c r="J32" s="1134" t="s">
        <v>964</v>
      </c>
      <c r="K32" s="10"/>
    </row>
    <row r="33" spans="2:11">
      <c r="B33" s="10">
        <v>29</v>
      </c>
      <c r="C33" s="10">
        <v>16</v>
      </c>
      <c r="D33" s="75" t="s">
        <v>392</v>
      </c>
      <c r="E33" s="65" t="str">
        <f>VLOOKUP(D33,Erection!$C$5:$D$753,2,0)</f>
        <v>DA-3</v>
      </c>
      <c r="F33" s="67">
        <v>45700</v>
      </c>
      <c r="G33" s="67">
        <v>45700</v>
      </c>
      <c r="H33" s="65" t="s">
        <v>1194</v>
      </c>
      <c r="I33" s="64" t="s">
        <v>1226</v>
      </c>
      <c r="J33" s="1134" t="s">
        <v>964</v>
      </c>
      <c r="K33" s="10"/>
    </row>
    <row r="34" spans="2:11">
      <c r="B34" s="10">
        <v>30</v>
      </c>
      <c r="C34" s="10">
        <v>17</v>
      </c>
      <c r="D34" s="75" t="s">
        <v>393</v>
      </c>
      <c r="E34" s="65" t="str">
        <f>VLOOKUP(D34,Erection!$C$5:$D$753,2,0)</f>
        <v>DA+6</v>
      </c>
      <c r="F34" s="67">
        <v>45701</v>
      </c>
      <c r="G34" s="67">
        <v>45701</v>
      </c>
      <c r="H34" s="65" t="s">
        <v>1194</v>
      </c>
      <c r="I34" s="64" t="s">
        <v>1226</v>
      </c>
      <c r="J34" s="1134" t="s">
        <v>964</v>
      </c>
      <c r="K34" s="10"/>
    </row>
    <row r="35" spans="2:11">
      <c r="B35" s="10">
        <v>31</v>
      </c>
      <c r="C35" s="10">
        <v>18</v>
      </c>
      <c r="D35" s="75" t="s">
        <v>396</v>
      </c>
      <c r="E35" s="65" t="str">
        <f>VLOOKUP(D35,Erection!$C$5:$D$753,2,0)</f>
        <v>DA+9</v>
      </c>
      <c r="F35" s="67">
        <v>45702</v>
      </c>
      <c r="G35" s="67">
        <v>45702</v>
      </c>
      <c r="H35" s="65" t="s">
        <v>1194</v>
      </c>
      <c r="I35" s="64" t="s">
        <v>1226</v>
      </c>
      <c r="J35" s="1134" t="s">
        <v>964</v>
      </c>
      <c r="K35" s="10"/>
    </row>
    <row r="36" spans="2:11">
      <c r="B36" s="10">
        <v>32</v>
      </c>
      <c r="C36" s="10">
        <v>19</v>
      </c>
      <c r="D36" s="75" t="s">
        <v>397</v>
      </c>
      <c r="E36" s="65" t="str">
        <f>VLOOKUP(D36,Erection!$C$5:$D$753,2,0)</f>
        <v>DA+3</v>
      </c>
      <c r="F36" s="67">
        <v>45703</v>
      </c>
      <c r="G36" s="67">
        <v>45703</v>
      </c>
      <c r="H36" s="65" t="s">
        <v>1194</v>
      </c>
      <c r="I36" s="64" t="s">
        <v>1226</v>
      </c>
      <c r="J36" s="1134" t="s">
        <v>964</v>
      </c>
      <c r="K36" s="10"/>
    </row>
    <row r="37" spans="2:11">
      <c r="B37" s="10">
        <v>33</v>
      </c>
      <c r="C37" s="10">
        <v>20</v>
      </c>
      <c r="D37" s="75" t="s">
        <v>398</v>
      </c>
      <c r="E37" s="65" t="str">
        <f>VLOOKUP(D37,Erection!$C$5:$D$753,2,0)</f>
        <v>DA+3</v>
      </c>
      <c r="F37" s="67">
        <v>45704</v>
      </c>
      <c r="G37" s="67">
        <v>45704</v>
      </c>
      <c r="H37" s="65" t="s">
        <v>1194</v>
      </c>
      <c r="I37" s="64" t="s">
        <v>1226</v>
      </c>
      <c r="J37" s="1134" t="s">
        <v>964</v>
      </c>
      <c r="K37" s="10"/>
    </row>
    <row r="38" spans="2:11">
      <c r="B38" s="10">
        <v>34</v>
      </c>
      <c r="C38" s="10">
        <v>21</v>
      </c>
      <c r="D38" s="75" t="s">
        <v>399</v>
      </c>
      <c r="E38" s="65" t="str">
        <f>VLOOKUP(D38,Erection!$C$5:$D$753,2,0)</f>
        <v>DA+9</v>
      </c>
      <c r="F38" s="67">
        <v>45705</v>
      </c>
      <c r="G38" s="67">
        <v>45705</v>
      </c>
      <c r="H38" s="65" t="s">
        <v>1194</v>
      </c>
      <c r="I38" s="64" t="s">
        <v>1226</v>
      </c>
      <c r="J38" s="1134" t="s">
        <v>964</v>
      </c>
      <c r="K38" s="10"/>
    </row>
    <row r="39" spans="2:11">
      <c r="B39" s="10">
        <v>35</v>
      </c>
      <c r="C39" s="10">
        <v>22</v>
      </c>
      <c r="D39" s="75" t="s">
        <v>400</v>
      </c>
      <c r="E39" s="65" t="str">
        <f>VLOOKUP(D39,Erection!$C$5:$D$753,2,0)</f>
        <v>DA+3</v>
      </c>
      <c r="F39" s="67">
        <v>45705</v>
      </c>
      <c r="G39" s="67">
        <v>45705</v>
      </c>
      <c r="H39" s="65" t="s">
        <v>1194</v>
      </c>
      <c r="I39" s="64" t="s">
        <v>1226</v>
      </c>
      <c r="J39" s="1134" t="s">
        <v>964</v>
      </c>
      <c r="K39" s="10"/>
    </row>
    <row r="40" spans="2:11">
      <c r="B40" s="10">
        <v>36</v>
      </c>
      <c r="C40" s="10">
        <v>23</v>
      </c>
      <c r="D40" s="75" t="s">
        <v>401</v>
      </c>
      <c r="E40" s="65" t="str">
        <f>VLOOKUP(D40,Erection!$C$5:$D$753,2,0)</f>
        <v>DA+0</v>
      </c>
      <c r="F40" s="67">
        <v>45705</v>
      </c>
      <c r="G40" s="67">
        <v>45705</v>
      </c>
      <c r="H40" s="65" t="s">
        <v>1194</v>
      </c>
      <c r="I40" s="64" t="s">
        <v>1226</v>
      </c>
      <c r="J40" s="1134" t="s">
        <v>964</v>
      </c>
      <c r="K40" s="10"/>
    </row>
    <row r="41" spans="2:11">
      <c r="B41" s="10">
        <v>37</v>
      </c>
      <c r="C41" s="10">
        <v>24</v>
      </c>
      <c r="D41" s="75" t="s">
        <v>262</v>
      </c>
      <c r="E41" s="65" t="str">
        <f>VLOOKUP(D41,Erection!$C$5:$D$753,2,0)</f>
        <v>DB1+0</v>
      </c>
      <c r="F41" s="67">
        <v>45706</v>
      </c>
      <c r="G41" s="67">
        <v>45706</v>
      </c>
      <c r="H41" s="65" t="s">
        <v>1194</v>
      </c>
      <c r="I41" s="64" t="s">
        <v>1226</v>
      </c>
      <c r="J41" s="1134" t="s">
        <v>964</v>
      </c>
      <c r="K41" s="10"/>
    </row>
    <row r="42" spans="2:11">
      <c r="B42" s="10">
        <v>38</v>
      </c>
      <c r="C42" s="10">
        <v>25</v>
      </c>
      <c r="D42" s="75" t="s">
        <v>493</v>
      </c>
      <c r="E42" s="65" t="str">
        <f>VLOOKUP(D42,Erection!$C$5:$D$753,2,0)</f>
        <v>DB1+6</v>
      </c>
      <c r="F42" s="67">
        <v>45709</v>
      </c>
      <c r="G42" s="67">
        <v>45709</v>
      </c>
      <c r="H42" s="65" t="s">
        <v>1194</v>
      </c>
      <c r="I42" s="64" t="s">
        <v>1226</v>
      </c>
      <c r="J42" s="1134" t="s">
        <v>964</v>
      </c>
      <c r="K42" s="10"/>
    </row>
    <row r="43" spans="2:11">
      <c r="B43" s="10">
        <v>39</v>
      </c>
      <c r="C43" s="10">
        <v>26</v>
      </c>
      <c r="D43" s="75" t="s">
        <v>166</v>
      </c>
      <c r="E43" s="65" t="str">
        <f>VLOOKUP(D43,Erection!$C$5:$D$753,2,0)</f>
        <v>DB1+6</v>
      </c>
      <c r="F43" s="67">
        <v>45711</v>
      </c>
      <c r="G43" s="67">
        <v>45711</v>
      </c>
      <c r="H43" s="65" t="s">
        <v>1194</v>
      </c>
      <c r="I43" s="64" t="s">
        <v>1226</v>
      </c>
      <c r="J43" s="1134" t="s">
        <v>964</v>
      </c>
      <c r="K43" s="10"/>
    </row>
    <row r="44" spans="2:11">
      <c r="B44" s="10">
        <v>40</v>
      </c>
      <c r="C44" s="10">
        <v>1</v>
      </c>
      <c r="D44" s="75" t="s">
        <v>394</v>
      </c>
      <c r="E44" s="65" t="str">
        <f>VLOOKUP(D44,Erection!$C$5:$D$753,2,0)</f>
        <v>DA+9</v>
      </c>
      <c r="F44" s="67">
        <v>45734</v>
      </c>
      <c r="G44" s="67">
        <v>45734</v>
      </c>
      <c r="H44" s="65" t="s">
        <v>1194</v>
      </c>
      <c r="I44" s="64" t="s">
        <v>1226</v>
      </c>
      <c r="J44" s="1134" t="s">
        <v>964</v>
      </c>
      <c r="K44" s="10"/>
    </row>
    <row r="45" spans="2:11">
      <c r="B45" s="10">
        <v>41</v>
      </c>
      <c r="C45" s="10">
        <v>2</v>
      </c>
      <c r="D45" s="75" t="s">
        <v>395</v>
      </c>
      <c r="E45" s="65" t="str">
        <f>VLOOKUP(D45,Erection!$C$5:$D$753,2,0)</f>
        <v>DA+6</v>
      </c>
      <c r="F45" s="67">
        <v>45734</v>
      </c>
      <c r="G45" s="67">
        <v>45734</v>
      </c>
      <c r="H45" s="65" t="s">
        <v>1194</v>
      </c>
      <c r="I45" s="64" t="s">
        <v>1226</v>
      </c>
      <c r="J45" s="1134" t="s">
        <v>964</v>
      </c>
      <c r="K45" s="10"/>
    </row>
    <row r="46" spans="2:11">
      <c r="B46" s="10">
        <v>42</v>
      </c>
      <c r="C46" s="10">
        <v>3</v>
      </c>
      <c r="D46" s="75" t="s">
        <v>71</v>
      </c>
      <c r="E46" s="65" t="str">
        <f>VLOOKUP(D46,Erection!$C$5:$D$753,2,0)</f>
        <v>DB2+0</v>
      </c>
      <c r="F46" s="67">
        <v>45736</v>
      </c>
      <c r="G46" s="67">
        <v>45736</v>
      </c>
      <c r="H46" s="65" t="s">
        <v>1194</v>
      </c>
      <c r="I46" s="64" t="s">
        <v>1461</v>
      </c>
      <c r="J46" s="1134" t="s">
        <v>964</v>
      </c>
      <c r="K46" s="10"/>
    </row>
    <row r="47" spans="2:11">
      <c r="B47" s="10">
        <v>43</v>
      </c>
      <c r="C47" s="10">
        <v>4</v>
      </c>
      <c r="D47" s="75" t="s">
        <v>777</v>
      </c>
      <c r="E47" s="65" t="str">
        <f>VLOOKUP(D47,Erection!$C$5:$D$753,2,0)</f>
        <v>DB1+0</v>
      </c>
      <c r="F47" s="67">
        <v>45738</v>
      </c>
      <c r="G47" s="67">
        <v>45738</v>
      </c>
      <c r="H47" s="10" t="s">
        <v>1194</v>
      </c>
      <c r="I47" s="64" t="s">
        <v>1461</v>
      </c>
      <c r="J47" s="1134" t="s">
        <v>964</v>
      </c>
      <c r="K47" s="10"/>
    </row>
    <row r="48" spans="2:11">
      <c r="B48" s="10">
        <v>44</v>
      </c>
      <c r="C48" s="10">
        <v>5</v>
      </c>
      <c r="D48" s="75" t="s">
        <v>783</v>
      </c>
      <c r="E48" s="65" t="str">
        <f>VLOOKUP(D48,Erection!$C$5:$D$753,2,0)</f>
        <v>DA+3</v>
      </c>
      <c r="F48" s="67">
        <v>45738</v>
      </c>
      <c r="G48" s="67">
        <v>45738</v>
      </c>
      <c r="H48" s="10" t="s">
        <v>1194</v>
      </c>
      <c r="I48" s="64" t="s">
        <v>1461</v>
      </c>
      <c r="J48" s="1134" t="s">
        <v>964</v>
      </c>
      <c r="K48" s="10"/>
    </row>
    <row r="49" spans="2:11">
      <c r="B49" s="10">
        <v>45</v>
      </c>
      <c r="C49" s="10">
        <v>6</v>
      </c>
      <c r="D49" s="75" t="s">
        <v>781</v>
      </c>
      <c r="E49" s="65" t="str">
        <f>VLOOKUP(D49,Erection!$C$5:$D$753,2,0)</f>
        <v>DA+9</v>
      </c>
      <c r="F49" s="67">
        <v>45739</v>
      </c>
      <c r="G49" s="67">
        <v>45739</v>
      </c>
      <c r="H49" s="10" t="s">
        <v>1194</v>
      </c>
      <c r="I49" s="64" t="s">
        <v>1461</v>
      </c>
      <c r="J49" s="1134" t="s">
        <v>964</v>
      </c>
      <c r="K49" s="10"/>
    </row>
    <row r="50" spans="2:11">
      <c r="B50" s="10">
        <v>46</v>
      </c>
      <c r="C50" s="10">
        <v>7</v>
      </c>
      <c r="D50" s="75" t="s">
        <v>778</v>
      </c>
      <c r="E50" s="65" t="str">
        <f>VLOOKUP(D50,Erection!$C$5:$D$753,2,0)</f>
        <v>DA+3</v>
      </c>
      <c r="F50" s="67">
        <v>45740</v>
      </c>
      <c r="G50" s="67">
        <v>45740</v>
      </c>
      <c r="H50" s="10" t="s">
        <v>1194</v>
      </c>
      <c r="I50" s="64" t="s">
        <v>1461</v>
      </c>
      <c r="J50" s="1134" t="s">
        <v>964</v>
      </c>
      <c r="K50" s="10"/>
    </row>
    <row r="51" spans="2:11">
      <c r="B51" s="10">
        <v>47</v>
      </c>
      <c r="C51" s="10">
        <v>8</v>
      </c>
      <c r="D51" s="75" t="s">
        <v>779</v>
      </c>
      <c r="E51" s="65" t="str">
        <f>VLOOKUP(D51,Erection!$C$5:$D$753,2,0)</f>
        <v>DA+1.5</v>
      </c>
      <c r="F51" s="67">
        <v>45740</v>
      </c>
      <c r="G51" s="67">
        <v>45740</v>
      </c>
      <c r="H51" s="10" t="s">
        <v>1194</v>
      </c>
      <c r="I51" s="64" t="s">
        <v>1461</v>
      </c>
      <c r="J51" s="1134" t="s">
        <v>964</v>
      </c>
      <c r="K51" s="10"/>
    </row>
    <row r="52" spans="2:11">
      <c r="B52" s="10">
        <v>48</v>
      </c>
      <c r="C52" s="10">
        <v>9</v>
      </c>
      <c r="D52" s="990" t="s">
        <v>780</v>
      </c>
      <c r="E52" s="65" t="str">
        <f>VLOOKUP(D52,Erection!$C$5:$D$753,2,0)</f>
        <v>DA+3</v>
      </c>
      <c r="F52" s="67">
        <v>45741</v>
      </c>
      <c r="G52" s="67">
        <v>45741</v>
      </c>
      <c r="H52" s="10" t="s">
        <v>1194</v>
      </c>
      <c r="I52" s="64" t="s">
        <v>1461</v>
      </c>
      <c r="J52" s="1134" t="s">
        <v>964</v>
      </c>
      <c r="K52" s="10"/>
    </row>
    <row r="53" spans="2:11">
      <c r="B53" s="10">
        <v>49</v>
      </c>
      <c r="C53" s="10">
        <v>10</v>
      </c>
      <c r="D53" s="75" t="s">
        <v>782</v>
      </c>
      <c r="E53" s="65" t="str">
        <f>VLOOKUP(D53,Erection!$C$5:$D$753,2,0)</f>
        <v>DA+3</v>
      </c>
      <c r="F53" s="67">
        <v>45741</v>
      </c>
      <c r="G53" s="67">
        <v>45741</v>
      </c>
      <c r="H53" s="10" t="s">
        <v>1194</v>
      </c>
      <c r="I53" s="64" t="s">
        <v>1461</v>
      </c>
      <c r="J53" s="1134" t="s">
        <v>964</v>
      </c>
      <c r="K53" s="10"/>
    </row>
    <row r="54" spans="2:11">
      <c r="B54" s="10">
        <v>50</v>
      </c>
      <c r="C54" s="10">
        <v>11</v>
      </c>
      <c r="D54" s="729" t="s">
        <v>370</v>
      </c>
      <c r="E54" s="65" t="str">
        <f>VLOOKUP(D54,Erection!$C$5:$D$753,2,0)</f>
        <v>DA+6</v>
      </c>
      <c r="F54" s="67">
        <v>45741</v>
      </c>
      <c r="G54" s="67">
        <v>45741</v>
      </c>
      <c r="H54" s="10" t="s">
        <v>1194</v>
      </c>
      <c r="I54" s="64" t="s">
        <v>1461</v>
      </c>
      <c r="J54" s="1134" t="s">
        <v>964</v>
      </c>
      <c r="K54" s="10"/>
    </row>
    <row r="55" spans="2:11">
      <c r="B55" s="10">
        <v>51</v>
      </c>
      <c r="C55" s="10">
        <v>12</v>
      </c>
      <c r="D55" s="75" t="s">
        <v>407</v>
      </c>
      <c r="E55" s="65" t="str">
        <f>VLOOKUP(D55,Erection!$C$5:$D$753,2,0)</f>
        <v>DA+0</v>
      </c>
      <c r="F55" s="67">
        <v>45741</v>
      </c>
      <c r="G55" s="67">
        <v>45741</v>
      </c>
      <c r="H55" s="10" t="s">
        <v>1194</v>
      </c>
      <c r="I55" s="64" t="s">
        <v>1461</v>
      </c>
      <c r="J55" s="1134" t="s">
        <v>964</v>
      </c>
      <c r="K55" s="10"/>
    </row>
    <row r="56" spans="2:11">
      <c r="B56" s="10">
        <v>52</v>
      </c>
      <c r="C56" s="10">
        <v>13</v>
      </c>
      <c r="D56" s="75" t="s">
        <v>406</v>
      </c>
      <c r="E56" s="65" t="str">
        <f>VLOOKUP(D56,Erection!$C$5:$D$753,2,0)</f>
        <v>DA+3</v>
      </c>
      <c r="F56" s="67">
        <v>45743</v>
      </c>
      <c r="G56" s="67">
        <v>45743</v>
      </c>
      <c r="H56" s="10" t="s">
        <v>1194</v>
      </c>
      <c r="I56" s="64" t="s">
        <v>1461</v>
      </c>
      <c r="J56" s="1134" t="s">
        <v>964</v>
      </c>
      <c r="K56" s="10"/>
    </row>
    <row r="57" spans="2:11">
      <c r="B57" s="10">
        <v>53</v>
      </c>
      <c r="C57" s="10">
        <v>14</v>
      </c>
      <c r="D57" s="729" t="s">
        <v>404</v>
      </c>
      <c r="E57" s="65" t="str">
        <f>VLOOKUP(D57,Erection!$C$5:$D$753,2,0)</f>
        <v>DA+3</v>
      </c>
      <c r="F57" s="67">
        <v>45743</v>
      </c>
      <c r="G57" s="67">
        <v>45743</v>
      </c>
      <c r="H57" s="10" t="s">
        <v>1194</v>
      </c>
      <c r="I57" s="64" t="s">
        <v>1461</v>
      </c>
      <c r="J57" s="1134" t="s">
        <v>964</v>
      </c>
      <c r="K57" s="10"/>
    </row>
    <row r="58" spans="2:11">
      <c r="B58" s="10">
        <v>54</v>
      </c>
      <c r="C58" s="10">
        <v>15</v>
      </c>
      <c r="D58" s="75" t="s">
        <v>609</v>
      </c>
      <c r="E58" s="65" t="str">
        <f>VLOOKUP(D58,Erection!$C$5:$D$753,2,0)</f>
        <v>DA+0</v>
      </c>
      <c r="F58" s="67">
        <v>45747</v>
      </c>
      <c r="G58" s="67">
        <v>45747</v>
      </c>
      <c r="H58" s="10" t="s">
        <v>1194</v>
      </c>
      <c r="I58" s="64" t="s">
        <v>1461</v>
      </c>
      <c r="J58" s="1134" t="s">
        <v>964</v>
      </c>
      <c r="K58" s="10"/>
    </row>
    <row r="59" spans="2:11">
      <c r="B59" s="10">
        <v>55</v>
      </c>
      <c r="C59" s="10">
        <v>1</v>
      </c>
      <c r="D59" s="75" t="s">
        <v>610</v>
      </c>
      <c r="E59" s="65" t="str">
        <f>VLOOKUP(D59,Erection!$C$5:$D$753,2,0)</f>
        <v>DA+0</v>
      </c>
      <c r="F59" s="67">
        <v>45752</v>
      </c>
      <c r="G59" s="67">
        <v>45752</v>
      </c>
      <c r="H59" s="10" t="s">
        <v>1194</v>
      </c>
      <c r="I59" s="64" t="s">
        <v>1461</v>
      </c>
      <c r="J59" s="1134" t="s">
        <v>964</v>
      </c>
      <c r="K59" s="10"/>
    </row>
    <row r="60" spans="2:11">
      <c r="B60" s="10">
        <v>56</v>
      </c>
      <c r="C60" s="10">
        <v>2</v>
      </c>
      <c r="D60" s="75" t="s">
        <v>611</v>
      </c>
      <c r="E60" s="65" t="str">
        <f>VLOOKUP(D60,Erection!$C$5:$D$753,2,0)</f>
        <v>DA+3</v>
      </c>
      <c r="F60" s="67">
        <v>45753</v>
      </c>
      <c r="G60" s="67">
        <v>45753</v>
      </c>
      <c r="H60" s="10" t="s">
        <v>1194</v>
      </c>
      <c r="I60" s="64" t="s">
        <v>1461</v>
      </c>
      <c r="J60" s="1134" t="s">
        <v>964</v>
      </c>
      <c r="K60" s="10"/>
    </row>
    <row r="61" spans="2:11">
      <c r="B61" s="10">
        <v>57</v>
      </c>
      <c r="C61" s="10">
        <v>3</v>
      </c>
      <c r="D61" s="75" t="s">
        <v>612</v>
      </c>
      <c r="E61" s="65" t="str">
        <f>VLOOKUP(D61,Erection!$C$5:$D$753,2,0)</f>
        <v>DA+1.5</v>
      </c>
      <c r="F61" s="67">
        <v>45753</v>
      </c>
      <c r="G61" s="67">
        <v>45753</v>
      </c>
      <c r="H61" s="10" t="s">
        <v>1194</v>
      </c>
      <c r="I61" s="64" t="s">
        <v>1461</v>
      </c>
      <c r="J61" s="1134" t="s">
        <v>964</v>
      </c>
      <c r="K61" s="10"/>
    </row>
    <row r="62" spans="2:11">
      <c r="B62" s="10">
        <v>58</v>
      </c>
      <c r="C62" s="10">
        <v>4</v>
      </c>
      <c r="D62" s="75" t="s">
        <v>613</v>
      </c>
      <c r="E62" s="65" t="str">
        <f>VLOOKUP(D62,Erection!$C$5:$D$753,2,0)</f>
        <v>DA+3</v>
      </c>
      <c r="F62" s="67">
        <v>45756</v>
      </c>
      <c r="G62" s="67">
        <v>45756</v>
      </c>
      <c r="H62" s="10" t="s">
        <v>1194</v>
      </c>
      <c r="I62" s="64" t="s">
        <v>1461</v>
      </c>
      <c r="J62" s="1134" t="s">
        <v>964</v>
      </c>
      <c r="K62" s="10"/>
    </row>
    <row r="63" spans="2:11">
      <c r="B63" s="10">
        <v>59</v>
      </c>
      <c r="C63" s="10">
        <v>5</v>
      </c>
      <c r="D63" s="75" t="s">
        <v>614</v>
      </c>
      <c r="E63" s="65" t="str">
        <f>VLOOKUP(D63,Erection!$C$5:$D$753,2,0)</f>
        <v>DA+6</v>
      </c>
      <c r="F63" s="67">
        <v>45756</v>
      </c>
      <c r="G63" s="67">
        <v>45756</v>
      </c>
      <c r="H63" s="10" t="s">
        <v>1194</v>
      </c>
      <c r="I63" s="64" t="s">
        <v>1461</v>
      </c>
      <c r="J63" s="1134" t="s">
        <v>964</v>
      </c>
      <c r="K63" s="10"/>
    </row>
    <row r="64" spans="2:11">
      <c r="B64" s="10">
        <v>60</v>
      </c>
      <c r="C64" s="10">
        <v>6</v>
      </c>
      <c r="D64" s="75" t="s">
        <v>616</v>
      </c>
      <c r="E64" s="65" t="str">
        <f>VLOOKUP(D64,Erection!$C$5:$D$753,2,0)</f>
        <v>DA+1.5</v>
      </c>
      <c r="F64" s="67">
        <v>45756</v>
      </c>
      <c r="G64" s="67">
        <v>45756</v>
      </c>
      <c r="H64" s="10" t="s">
        <v>1194</v>
      </c>
      <c r="I64" s="64" t="s">
        <v>1461</v>
      </c>
      <c r="J64" s="1134" t="s">
        <v>964</v>
      </c>
      <c r="K64" s="10"/>
    </row>
    <row r="65" spans="2:11">
      <c r="B65" s="10">
        <v>61</v>
      </c>
      <c r="C65" s="10">
        <v>7</v>
      </c>
      <c r="D65" s="75" t="s">
        <v>617</v>
      </c>
      <c r="E65" s="65" t="str">
        <f>VLOOKUP(D65,Erection!$C$5:$D$753,2,0)</f>
        <v>DA+0</v>
      </c>
      <c r="F65" s="67">
        <v>45756</v>
      </c>
      <c r="G65" s="67">
        <v>45756</v>
      </c>
      <c r="H65" s="10" t="s">
        <v>1194</v>
      </c>
      <c r="I65" s="64" t="s">
        <v>1461</v>
      </c>
      <c r="J65" s="1134" t="s">
        <v>964</v>
      </c>
      <c r="K65" s="10"/>
    </row>
    <row r="66" spans="2:11">
      <c r="B66" s="10">
        <v>62</v>
      </c>
      <c r="C66" s="10">
        <v>8</v>
      </c>
      <c r="D66" s="75" t="s">
        <v>618</v>
      </c>
      <c r="E66" s="65" t="str">
        <f>VLOOKUP(D66,Erection!$C$5:$D$753,2,0)</f>
        <v>DA+3</v>
      </c>
      <c r="F66" s="67">
        <v>45756</v>
      </c>
      <c r="G66" s="67">
        <v>45756</v>
      </c>
      <c r="H66" s="10" t="s">
        <v>1194</v>
      </c>
      <c r="I66" s="64" t="s">
        <v>1461</v>
      </c>
      <c r="J66" s="1134" t="s">
        <v>964</v>
      </c>
      <c r="K66" s="10"/>
    </row>
    <row r="67" spans="2:11">
      <c r="B67" s="10">
        <v>63</v>
      </c>
      <c r="C67" s="10">
        <v>9</v>
      </c>
      <c r="D67" s="75" t="s">
        <v>572</v>
      </c>
      <c r="E67" s="65" t="str">
        <f>VLOOKUP(D67,Erection!$C$5:$D$753,2,0)</f>
        <v>DA+6</v>
      </c>
      <c r="F67" s="67">
        <v>45775</v>
      </c>
      <c r="G67" s="67">
        <v>45775</v>
      </c>
      <c r="H67" s="10" t="s">
        <v>1194</v>
      </c>
      <c r="I67" s="63" t="s">
        <v>1195</v>
      </c>
      <c r="J67" s="1134" t="s">
        <v>964</v>
      </c>
      <c r="K67" s="10"/>
    </row>
    <row r="68" spans="2:11">
      <c r="B68" s="10">
        <v>64</v>
      </c>
      <c r="C68" s="10">
        <v>1</v>
      </c>
      <c r="D68" s="75" t="s">
        <v>479</v>
      </c>
      <c r="E68" s="65" t="str">
        <f>VLOOKUP(D68,Erection!$C$5:$D$753,2,0)</f>
        <v>DA+6</v>
      </c>
      <c r="F68" s="67">
        <v>45776</v>
      </c>
      <c r="G68" s="67">
        <v>45776</v>
      </c>
      <c r="H68" s="10" t="s">
        <v>1194</v>
      </c>
      <c r="I68" s="63" t="s">
        <v>1195</v>
      </c>
      <c r="J68" s="1134" t="s">
        <v>964</v>
      </c>
      <c r="K68" s="10"/>
    </row>
    <row r="69" spans="2:11">
      <c r="B69" s="10">
        <v>65</v>
      </c>
      <c r="C69" s="10">
        <v>2</v>
      </c>
      <c r="D69" s="75" t="s">
        <v>482</v>
      </c>
      <c r="E69" s="65" t="str">
        <f>VLOOKUP(D69,Erection!$C$5:$D$753,2,0)</f>
        <v>DA+6</v>
      </c>
      <c r="F69" s="67">
        <v>45776</v>
      </c>
      <c r="G69" s="67">
        <v>45776</v>
      </c>
      <c r="H69" s="10" t="s">
        <v>1194</v>
      </c>
      <c r="I69" s="63" t="s">
        <v>1195</v>
      </c>
      <c r="J69" s="1134" t="s">
        <v>964</v>
      </c>
      <c r="K69" s="10"/>
    </row>
    <row r="70" spans="2:11">
      <c r="B70" s="10">
        <v>66</v>
      </c>
      <c r="C70" s="10">
        <v>3</v>
      </c>
      <c r="D70" s="75" t="s">
        <v>483</v>
      </c>
      <c r="E70" s="65" t="str">
        <f>VLOOKUP(D70,Erection!$C$5:$D$753,2,0)</f>
        <v>DA-1.5</v>
      </c>
      <c r="F70" s="67">
        <v>45777</v>
      </c>
      <c r="G70" s="67">
        <v>45777</v>
      </c>
      <c r="H70" s="10" t="s">
        <v>1194</v>
      </c>
      <c r="I70" s="63" t="s">
        <v>1195</v>
      </c>
      <c r="J70" s="1134" t="s">
        <v>964</v>
      </c>
      <c r="K70" s="10"/>
    </row>
    <row r="71" spans="2:11">
      <c r="B71" s="10">
        <v>67</v>
      </c>
      <c r="C71" s="10">
        <v>4</v>
      </c>
      <c r="D71" s="75" t="s">
        <v>571</v>
      </c>
      <c r="E71" s="65" t="str">
        <f>VLOOKUP(D71,Erection!$C$5:$D$753,2,0)</f>
        <v>DA+0</v>
      </c>
      <c r="F71" s="67">
        <v>45777</v>
      </c>
      <c r="G71" s="67">
        <v>45777</v>
      </c>
      <c r="H71" s="10" t="s">
        <v>1194</v>
      </c>
      <c r="I71" s="63" t="s">
        <v>1195</v>
      </c>
      <c r="J71" s="1134" t="s">
        <v>964</v>
      </c>
      <c r="K71" s="10"/>
    </row>
    <row r="72" spans="2:11">
      <c r="B72" s="10">
        <v>68</v>
      </c>
      <c r="C72" s="10">
        <v>5</v>
      </c>
      <c r="D72" s="75" t="s">
        <v>574</v>
      </c>
      <c r="E72" s="65" t="str">
        <f>VLOOKUP(D72,Erection!$C$5:$D$753,2,0)</f>
        <v>DA+3</v>
      </c>
      <c r="F72" s="67">
        <v>45778</v>
      </c>
      <c r="G72" s="67">
        <v>45778</v>
      </c>
      <c r="H72" s="10" t="s">
        <v>1194</v>
      </c>
      <c r="I72" s="63" t="s">
        <v>1195</v>
      </c>
      <c r="J72" s="1134" t="s">
        <v>964</v>
      </c>
      <c r="K72" s="10"/>
    </row>
    <row r="73" spans="2:11">
      <c r="B73" s="10">
        <v>69</v>
      </c>
      <c r="C73" s="10">
        <v>6</v>
      </c>
      <c r="D73" s="75" t="s">
        <v>72</v>
      </c>
      <c r="E73" s="65" t="str">
        <f>VLOOKUP(D73,Erection!$C$5:$D$753,2,0)</f>
        <v>DB1+3</v>
      </c>
      <c r="F73" s="67">
        <v>45779</v>
      </c>
      <c r="G73" s="67">
        <v>45779</v>
      </c>
      <c r="H73" s="10" t="s">
        <v>1194</v>
      </c>
      <c r="I73" s="63" t="s">
        <v>1195</v>
      </c>
      <c r="J73" s="1134" t="s">
        <v>964</v>
      </c>
      <c r="K73" s="10"/>
    </row>
    <row r="74" spans="2:11">
      <c r="B74" s="10">
        <v>70</v>
      </c>
      <c r="C74" s="10">
        <v>7</v>
      </c>
      <c r="D74" s="75" t="s">
        <v>73</v>
      </c>
      <c r="E74" s="65" t="str">
        <f>VLOOKUP(D74,Erection!$C$5:$D$753,2,0)</f>
        <v>DB2+0</v>
      </c>
      <c r="F74" s="67">
        <v>45780</v>
      </c>
      <c r="G74" s="67">
        <v>45780</v>
      </c>
      <c r="H74" s="10" t="s">
        <v>1194</v>
      </c>
      <c r="I74" s="63" t="s">
        <v>1195</v>
      </c>
      <c r="J74" s="1134" t="s">
        <v>964</v>
      </c>
      <c r="K74" s="10"/>
    </row>
    <row r="75" spans="2:11">
      <c r="B75" s="10">
        <v>71</v>
      </c>
      <c r="C75" s="10">
        <v>8</v>
      </c>
      <c r="D75" s="75" t="s">
        <v>620</v>
      </c>
      <c r="E75" s="65" t="str">
        <f>VLOOKUP(D75,Erection!$C$5:$D$753,2,0)</f>
        <v>DA-1.5</v>
      </c>
      <c r="F75" s="67">
        <v>45780</v>
      </c>
      <c r="G75" s="67">
        <v>45780</v>
      </c>
      <c r="H75" s="10" t="s">
        <v>1194</v>
      </c>
      <c r="I75" s="63" t="s">
        <v>1195</v>
      </c>
      <c r="J75" s="1134" t="s">
        <v>964</v>
      </c>
      <c r="K75" s="10"/>
    </row>
    <row r="76" spans="2:11">
      <c r="B76" s="10">
        <v>72</v>
      </c>
      <c r="C76" s="10">
        <v>9</v>
      </c>
      <c r="D76" s="75" t="s">
        <v>621</v>
      </c>
      <c r="E76" s="65" t="str">
        <f>VLOOKUP(D76,Erection!$C$5:$D$753,2,0)</f>
        <v>DA+3</v>
      </c>
      <c r="F76" s="67">
        <v>45781</v>
      </c>
      <c r="G76" s="67">
        <v>45781</v>
      </c>
      <c r="H76" s="10" t="s">
        <v>1194</v>
      </c>
      <c r="I76" s="63" t="s">
        <v>1195</v>
      </c>
      <c r="J76" s="1134" t="s">
        <v>964</v>
      </c>
      <c r="K76" s="10"/>
    </row>
    <row r="77" spans="2:11">
      <c r="B77" s="10">
        <v>73</v>
      </c>
      <c r="C77" s="10">
        <v>10</v>
      </c>
      <c r="D77" s="75" t="s">
        <v>622</v>
      </c>
      <c r="E77" s="65" t="str">
        <f>VLOOKUP(D77,Erection!$C$5:$D$753,2,0)</f>
        <v>DA+1.5</v>
      </c>
      <c r="F77" s="67">
        <v>45782</v>
      </c>
      <c r="G77" s="67">
        <v>45782</v>
      </c>
      <c r="H77" s="10" t="s">
        <v>1194</v>
      </c>
      <c r="I77" s="63" t="s">
        <v>1195</v>
      </c>
      <c r="J77" s="1134" t="s">
        <v>964</v>
      </c>
      <c r="K77" s="10"/>
    </row>
    <row r="78" spans="2:11">
      <c r="B78" s="10">
        <v>74</v>
      </c>
      <c r="C78" s="10">
        <v>11</v>
      </c>
      <c r="D78" s="75" t="s">
        <v>623</v>
      </c>
      <c r="E78" s="65" t="str">
        <f>VLOOKUP(D78,Erection!$C$5:$D$753,2,0)</f>
        <v>DA+3</v>
      </c>
      <c r="F78" s="67">
        <v>45783</v>
      </c>
      <c r="G78" s="67">
        <v>45783</v>
      </c>
      <c r="H78" s="10" t="s">
        <v>1194</v>
      </c>
      <c r="I78" s="63" t="s">
        <v>1195</v>
      </c>
      <c r="J78" s="1134" t="s">
        <v>964</v>
      </c>
      <c r="K78" s="10"/>
    </row>
    <row r="79" spans="2:11">
      <c r="B79" s="10">
        <v>75</v>
      </c>
      <c r="C79" s="10">
        <v>12</v>
      </c>
      <c r="D79" s="75" t="s">
        <v>624</v>
      </c>
      <c r="E79" s="65" t="str">
        <f>VLOOKUP(D79,Erection!$C$5:$D$753,2,0)</f>
        <v>DA+1.5</v>
      </c>
      <c r="F79" s="67">
        <v>45783</v>
      </c>
      <c r="G79" s="67">
        <v>45783</v>
      </c>
      <c r="H79" s="10" t="s">
        <v>1194</v>
      </c>
      <c r="I79" s="63" t="s">
        <v>1195</v>
      </c>
      <c r="J79" s="1134" t="s">
        <v>964</v>
      </c>
      <c r="K79" s="10"/>
    </row>
    <row r="80" spans="2:11">
      <c r="B80" s="10">
        <v>76</v>
      </c>
      <c r="C80" s="10">
        <v>13</v>
      </c>
      <c r="D80" s="729" t="s">
        <v>625</v>
      </c>
      <c r="E80" s="65" t="str">
        <f>VLOOKUP(D80,Erection!$C$5:$D$753,2,0)</f>
        <v>DA+1.5</v>
      </c>
      <c r="F80" s="67">
        <v>45785</v>
      </c>
      <c r="G80" s="67">
        <v>45785</v>
      </c>
      <c r="H80" s="10" t="s">
        <v>1194</v>
      </c>
      <c r="I80" s="63" t="s">
        <v>1195</v>
      </c>
      <c r="J80" s="1134" t="s">
        <v>964</v>
      </c>
      <c r="K80" s="10"/>
    </row>
    <row r="81" spans="2:11">
      <c r="B81" s="10">
        <v>77</v>
      </c>
      <c r="C81" s="10">
        <v>14</v>
      </c>
      <c r="D81" s="729" t="s">
        <v>415</v>
      </c>
      <c r="E81" s="65" t="str">
        <f>VLOOKUP(D81,Erection!$C$5:$D$753,2,0)</f>
        <v>DA+3</v>
      </c>
      <c r="F81" s="67">
        <v>45789</v>
      </c>
      <c r="G81" s="67">
        <v>45789</v>
      </c>
      <c r="H81" s="10" t="s">
        <v>1194</v>
      </c>
      <c r="I81" s="63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75" t="s">
        <v>416</v>
      </c>
      <c r="E82" s="65" t="str">
        <f>VLOOKUP(D82,Erection!$C$5:$D$753,2,0)</f>
        <v>DA+3</v>
      </c>
      <c r="F82" s="67">
        <v>45789</v>
      </c>
      <c r="G82" s="67">
        <v>45789</v>
      </c>
      <c r="H82" s="10" t="s">
        <v>1194</v>
      </c>
      <c r="I82" s="63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75" t="s">
        <v>418</v>
      </c>
      <c r="E83" s="65" t="str">
        <f>VLOOKUP(D83,Erection!$C$5:$D$753,2,0)</f>
        <v>DA+3</v>
      </c>
      <c r="F83" s="67">
        <v>45790</v>
      </c>
      <c r="G83" s="67">
        <v>45790</v>
      </c>
      <c r="H83" s="10" t="s">
        <v>1194</v>
      </c>
      <c r="I83" s="63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75" t="s">
        <v>419</v>
      </c>
      <c r="E84" s="65" t="str">
        <f>VLOOKUP(D84,Erection!$C$5:$D$753,2,0)</f>
        <v>DA+9</v>
      </c>
      <c r="F84" s="67">
        <v>45792</v>
      </c>
      <c r="G84" s="67">
        <v>45792</v>
      </c>
      <c r="H84" s="10" t="s">
        <v>1194</v>
      </c>
      <c r="I84" s="63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75" t="s">
        <v>626</v>
      </c>
      <c r="E85" s="65" t="str">
        <f>VLOOKUP(D85,Erection!$C$5:$D$753,2,0)</f>
        <v>DA+3</v>
      </c>
      <c r="F85" s="67">
        <v>45798</v>
      </c>
      <c r="G85" s="67">
        <v>45798</v>
      </c>
      <c r="H85" s="10" t="s">
        <v>1194</v>
      </c>
      <c r="I85" s="63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75" t="s">
        <v>627</v>
      </c>
      <c r="E86" s="65" t="str">
        <f>VLOOKUP(D86,Erection!$C$5:$D$753,2,0)</f>
        <v>DA+1.5</v>
      </c>
      <c r="F86" s="67">
        <v>45798</v>
      </c>
      <c r="G86" s="67">
        <v>45798</v>
      </c>
      <c r="H86" s="10" t="s">
        <v>1194</v>
      </c>
      <c r="I86" s="63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75" t="s">
        <v>628</v>
      </c>
      <c r="E87" s="65" t="str">
        <f>VLOOKUP(D87,Erection!$C$5:$D$753,2,0)</f>
        <v>DA+6</v>
      </c>
      <c r="F87" s="67">
        <v>45799</v>
      </c>
      <c r="G87" s="67">
        <v>45799</v>
      </c>
      <c r="H87" s="10" t="s">
        <v>1194</v>
      </c>
      <c r="I87" s="63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75" t="s">
        <v>629</v>
      </c>
      <c r="E88" s="65" t="str">
        <f>VLOOKUP(D88,Erection!$C$5:$D$753,2,0)</f>
        <v>DA+3</v>
      </c>
      <c r="F88" s="67">
        <v>45800</v>
      </c>
      <c r="G88" s="67">
        <v>45800</v>
      </c>
      <c r="H88" s="10" t="s">
        <v>1194</v>
      </c>
      <c r="I88" s="63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75" t="s">
        <v>630</v>
      </c>
      <c r="E89" s="65" t="str">
        <f>VLOOKUP(D89,Erection!$C$5:$D$753,2,0)</f>
        <v>DA+6</v>
      </c>
      <c r="F89" s="67">
        <v>45801</v>
      </c>
      <c r="G89" s="67">
        <v>45801</v>
      </c>
      <c r="H89" s="10" t="s">
        <v>1194</v>
      </c>
      <c r="I89" s="63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75" t="s">
        <v>207</v>
      </c>
      <c r="E90" s="65" t="str">
        <f>VLOOKUP(D90,Erection!$C$5:$D$753,2,0)</f>
        <v>DA+6</v>
      </c>
      <c r="F90" s="67">
        <v>45802</v>
      </c>
      <c r="G90" s="67">
        <v>45802</v>
      </c>
      <c r="H90" s="10" t="s">
        <v>1194</v>
      </c>
      <c r="I90" s="63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75" t="s">
        <v>5</v>
      </c>
      <c r="E91" s="65" t="str">
        <f>VLOOKUP(D91,Erection!$C$5:$D$753,2,0)</f>
        <v>DA+3</v>
      </c>
      <c r="F91" s="67">
        <v>45804</v>
      </c>
      <c r="G91" s="67">
        <v>45804</v>
      </c>
      <c r="H91" s="10" t="s">
        <v>1194</v>
      </c>
      <c r="I91" s="63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75" t="s">
        <v>6</v>
      </c>
      <c r="E92" s="65" t="str">
        <f>VLOOKUP(D92,Erection!$C$5:$D$753,2,0)</f>
        <v>DA+6</v>
      </c>
      <c r="F92" s="67">
        <v>45805</v>
      </c>
      <c r="G92" s="67">
        <v>45805</v>
      </c>
      <c r="H92" s="10" t="s">
        <v>1194</v>
      </c>
      <c r="I92" s="63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75" t="s">
        <v>632</v>
      </c>
      <c r="E93" s="65" t="str">
        <f>VLOOKUP(D93,Erection!$C$5:$D$753,2,0)</f>
        <v>DA+9</v>
      </c>
      <c r="F93" s="67">
        <v>45806</v>
      </c>
      <c r="G93" s="67">
        <v>45806</v>
      </c>
      <c r="H93" s="10" t="s">
        <v>1194</v>
      </c>
      <c r="I93" s="63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75" t="s">
        <v>633</v>
      </c>
      <c r="E94" s="65" t="str">
        <f>VLOOKUP(D94,Erection!$C$5:$D$753,2,0)</f>
        <v>DA+9</v>
      </c>
      <c r="F94" s="67">
        <v>45807</v>
      </c>
      <c r="G94" s="67">
        <v>45807</v>
      </c>
      <c r="H94" s="10" t="s">
        <v>1194</v>
      </c>
      <c r="I94" s="63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75" t="s">
        <v>261</v>
      </c>
      <c r="E95" s="65" t="str">
        <f>VLOOKUP(D95,Erection!$C$5:$D$753,2,0)</f>
        <v>DB2+0</v>
      </c>
      <c r="F95" s="67">
        <v>45927</v>
      </c>
      <c r="G95" s="67">
        <v>45927</v>
      </c>
      <c r="H95" s="10" t="s">
        <v>1194</v>
      </c>
      <c r="I95" s="63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58" t="s">
        <v>480</v>
      </c>
      <c r="E96" s="65" t="str">
        <f>VLOOKUP(D96,Erection!$C$5:$D$753,2,0)</f>
        <v>DA+9</v>
      </c>
      <c r="F96" s="67">
        <v>45928</v>
      </c>
      <c r="G96" s="67">
        <v>45928</v>
      </c>
      <c r="H96" s="10" t="s">
        <v>1194</v>
      </c>
      <c r="I96" s="63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64" t="s">
        <v>494</v>
      </c>
      <c r="E97" s="65" t="str">
        <f>VLOOKUP(D97,Erection!$C$5:$D$753,2,0)</f>
        <v>DA+1.5</v>
      </c>
      <c r="F97" s="110">
        <v>45931</v>
      </c>
      <c r="G97" s="110">
        <v>45932</v>
      </c>
      <c r="H97" s="10" t="s">
        <v>1194</v>
      </c>
      <c r="I97" s="63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65" t="s">
        <v>402</v>
      </c>
      <c r="E98" s="65" t="str">
        <f>VLOOKUP(D98,Erection!$C$5:$D$753,2,0)</f>
        <v>DA+9</v>
      </c>
      <c r="F98" s="110">
        <v>45933</v>
      </c>
      <c r="G98" s="110">
        <v>45934</v>
      </c>
      <c r="H98" s="10" t="s">
        <v>1194</v>
      </c>
      <c r="I98" s="63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64" t="s">
        <v>484</v>
      </c>
      <c r="E99" s="65" t="str">
        <f>VLOOKUP(D99,Erection!$C$5:$D$753,2,0)</f>
        <v>DB1+12</v>
      </c>
      <c r="F99" s="110">
        <v>45935</v>
      </c>
      <c r="G99" s="110">
        <v>45936</v>
      </c>
      <c r="H99" s="10" t="s">
        <v>1194</v>
      </c>
      <c r="I99" s="63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65" t="s">
        <v>876</v>
      </c>
      <c r="E100" s="65" t="str">
        <f>VLOOKUP(D100,Erection!$C$5:$D$753,2,0)</f>
        <v>DA+9</v>
      </c>
      <c r="F100" s="110">
        <v>45943</v>
      </c>
      <c r="G100" s="110">
        <v>45943</v>
      </c>
      <c r="H100" s="10" t="s">
        <v>1194</v>
      </c>
      <c r="I100" s="63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65" t="s">
        <v>10</v>
      </c>
      <c r="E101" s="65" t="str">
        <f>VLOOKUP(D101,Erection!$C$5:$D$753,2,0)</f>
        <v>DB2+0</v>
      </c>
      <c r="F101" s="110">
        <v>45944</v>
      </c>
      <c r="G101" s="110">
        <v>45944</v>
      </c>
      <c r="H101" s="10" t="s">
        <v>1194</v>
      </c>
      <c r="I101" s="63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65" t="s">
        <v>879</v>
      </c>
      <c r="E102" s="65" t="str">
        <f>VLOOKUP(D102,Erection!$C$5:$D$753,2,0)</f>
        <v>DA+3</v>
      </c>
      <c r="F102" s="110">
        <v>45945</v>
      </c>
      <c r="G102" s="110">
        <v>45945</v>
      </c>
      <c r="H102" s="10" t="s">
        <v>1194</v>
      </c>
      <c r="I102" s="63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65" t="s">
        <v>878</v>
      </c>
      <c r="E103" s="65" t="str">
        <f>VLOOKUP(D103,Erection!$C$5:$D$753,2,0)</f>
        <v>DA+9</v>
      </c>
      <c r="F103" s="110">
        <v>45944</v>
      </c>
      <c r="G103" s="110">
        <v>45944</v>
      </c>
      <c r="H103" s="10" t="s">
        <v>1194</v>
      </c>
      <c r="I103" s="63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69" t="s">
        <v>875</v>
      </c>
      <c r="E104" s="65" t="str">
        <f>VLOOKUP(D104,Erection!$C$5:$D$753,2,0)</f>
        <v>DA+6</v>
      </c>
      <c r="F104" s="110">
        <v>45944</v>
      </c>
      <c r="G104" s="110">
        <v>45944</v>
      </c>
      <c r="H104" s="10" t="s">
        <v>1194</v>
      </c>
      <c r="I104" s="63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69" t="s">
        <v>877</v>
      </c>
      <c r="E105" s="65" t="str">
        <f>VLOOKUP(D105,Erection!$C$5:$D$753,2,0)</f>
        <v>DA+9</v>
      </c>
      <c r="F105" s="110">
        <v>45946</v>
      </c>
      <c r="G105" s="110">
        <v>45946</v>
      </c>
      <c r="H105" s="10" t="s">
        <v>1194</v>
      </c>
      <c r="I105" s="63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65" t="str">
        <f>VLOOKUP(D106,Erection!$C$5:$D$753,2,0)</f>
        <v>DB1+9</v>
      </c>
      <c r="F106" s="110">
        <v>45948</v>
      </c>
      <c r="G106" s="110">
        <v>45948</v>
      </c>
      <c r="H106" s="10" t="s">
        <v>1194</v>
      </c>
      <c r="I106" s="63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69" t="s">
        <v>258</v>
      </c>
      <c r="E107" s="65" t="str">
        <f>VLOOKUP(D107,Erection!$C$5:$D$753,2,0)</f>
        <v>DB1+9</v>
      </c>
      <c r="F107" s="110">
        <v>45971</v>
      </c>
      <c r="G107" s="110">
        <v>45972</v>
      </c>
      <c r="H107" s="10" t="s">
        <v>1194</v>
      </c>
      <c r="I107" s="63" t="s">
        <v>1557</v>
      </c>
      <c r="J107" s="10" t="s">
        <v>964</v>
      </c>
      <c r="K107" s="10"/>
    </row>
    <row r="108" spans="2:11">
      <c r="B108" s="10">
        <v>104</v>
      </c>
      <c r="C108" s="10">
        <v>2</v>
      </c>
      <c r="D108" s="669" t="s">
        <v>259</v>
      </c>
      <c r="E108" s="65" t="str">
        <f>VLOOKUP(D108,Erection!$C$5:$D$753,2,0)</f>
        <v>DA+9</v>
      </c>
      <c r="F108" s="110">
        <v>45972</v>
      </c>
      <c r="G108" s="110">
        <v>45972</v>
      </c>
      <c r="H108" s="10" t="s">
        <v>1194</v>
      </c>
      <c r="I108" s="63" t="s">
        <v>1557</v>
      </c>
      <c r="J108" s="10" t="s">
        <v>964</v>
      </c>
      <c r="K108" s="10"/>
    </row>
    <row r="109" spans="2:11">
      <c r="B109" s="10">
        <v>105</v>
      </c>
      <c r="C109" s="10">
        <v>3</v>
      </c>
      <c r="D109" s="669" t="s">
        <v>260</v>
      </c>
      <c r="E109" s="65" t="str">
        <f>VLOOKUP(D109,Erection!$C$5:$D$753,2,0)</f>
        <v>DA+6</v>
      </c>
      <c r="F109" s="110">
        <v>45973</v>
      </c>
      <c r="G109" s="110">
        <v>45973</v>
      </c>
      <c r="H109" s="10" t="s">
        <v>1194</v>
      </c>
      <c r="I109" s="63" t="s">
        <v>1557</v>
      </c>
      <c r="J109" s="10" t="s">
        <v>964</v>
      </c>
      <c r="K109" s="10"/>
    </row>
    <row r="110" spans="2:11">
      <c r="B110" s="10">
        <v>106</v>
      </c>
      <c r="C110" s="10">
        <v>4</v>
      </c>
      <c r="D110" s="669" t="s">
        <v>469</v>
      </c>
      <c r="E110" s="65" t="str">
        <f>VLOOKUP(D110,Erection!$C$5:$D$753,2,0)</f>
        <v>DA+3</v>
      </c>
      <c r="F110" s="110">
        <v>45974</v>
      </c>
      <c r="G110" s="110">
        <v>45975</v>
      </c>
      <c r="H110" s="10" t="s">
        <v>1194</v>
      </c>
      <c r="I110" s="63" t="s">
        <v>1557</v>
      </c>
      <c r="J110" s="10" t="s">
        <v>964</v>
      </c>
      <c r="K110" s="10"/>
    </row>
    <row r="111" spans="2:11">
      <c r="B111" s="10">
        <v>107</v>
      </c>
      <c r="C111" s="10">
        <v>5</v>
      </c>
      <c r="D111" s="669" t="s">
        <v>470</v>
      </c>
      <c r="E111" s="65" t="str">
        <f>VLOOKUP(D111,Erection!$C$5:$D$753,2,0)</f>
        <v>DA+9</v>
      </c>
      <c r="F111" s="110">
        <v>45976</v>
      </c>
      <c r="G111" s="110">
        <v>45976</v>
      </c>
      <c r="H111" s="10" t="s">
        <v>1194</v>
      </c>
      <c r="I111" s="63" t="s">
        <v>1557</v>
      </c>
      <c r="J111" s="10" t="s">
        <v>964</v>
      </c>
      <c r="K111" s="10"/>
    </row>
    <row r="112" spans="2:11">
      <c r="B112" s="10">
        <v>108</v>
      </c>
      <c r="C112" s="10">
        <v>6</v>
      </c>
      <c r="D112" s="669" t="s">
        <v>471</v>
      </c>
      <c r="E112" s="65" t="str">
        <f>VLOOKUP(D112,Erection!$C$5:$D$753,2,0)</f>
        <v>DA+9</v>
      </c>
      <c r="F112" s="110">
        <v>45977</v>
      </c>
      <c r="G112" s="110">
        <v>45978</v>
      </c>
      <c r="H112" s="10" t="s">
        <v>1194</v>
      </c>
      <c r="I112" s="63" t="s">
        <v>1557</v>
      </c>
      <c r="J112" s="10" t="s">
        <v>964</v>
      </c>
      <c r="K112" s="10"/>
    </row>
    <row r="113" spans="2:11">
      <c r="B113" s="10">
        <v>109</v>
      </c>
      <c r="C113" s="10">
        <v>7</v>
      </c>
      <c r="D113" s="669" t="s">
        <v>472</v>
      </c>
      <c r="E113" s="65" t="str">
        <f>VLOOKUP(D113,Erection!$C$5:$D$753,2,0)</f>
        <v>DA-3</v>
      </c>
      <c r="F113" s="110">
        <v>45979</v>
      </c>
      <c r="G113" s="110">
        <v>45979</v>
      </c>
      <c r="H113" s="10" t="s">
        <v>1194</v>
      </c>
      <c r="I113" s="63" t="s">
        <v>1557</v>
      </c>
      <c r="J113" s="10" t="s">
        <v>964</v>
      </c>
      <c r="K113" s="10"/>
    </row>
    <row r="114" spans="2:11">
      <c r="B114" s="10">
        <v>110</v>
      </c>
      <c r="C114" s="10">
        <v>8</v>
      </c>
      <c r="D114" s="669" t="s">
        <v>473</v>
      </c>
      <c r="E114" s="65" t="str">
        <f>VLOOKUP(D114,Erection!$C$5:$D$753,2,0)</f>
        <v>DA+1.5</v>
      </c>
      <c r="F114" s="110">
        <v>45980</v>
      </c>
      <c r="G114" s="110">
        <v>45980</v>
      </c>
      <c r="H114" s="10" t="s">
        <v>1194</v>
      </c>
      <c r="I114" s="63" t="s">
        <v>1557</v>
      </c>
      <c r="J114" s="10" t="s">
        <v>964</v>
      </c>
      <c r="K114" s="10"/>
    </row>
    <row r="115" spans="2:11">
      <c r="B115" s="10">
        <v>111</v>
      </c>
      <c r="C115" s="10">
        <v>9</v>
      </c>
      <c r="D115" s="669" t="s">
        <v>474</v>
      </c>
      <c r="E115" s="65" t="str">
        <f>VLOOKUP(D115,Erection!$C$5:$D$753,2,0)</f>
        <v>DA+3</v>
      </c>
      <c r="F115" s="110">
        <v>45981</v>
      </c>
      <c r="G115" s="110">
        <v>45981</v>
      </c>
      <c r="H115" s="10" t="s">
        <v>1194</v>
      </c>
      <c r="I115" s="63" t="s">
        <v>1557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69" t="s">
        <v>475</v>
      </c>
      <c r="E116" s="65" t="str">
        <f>VLOOKUP(D116,Erection!$C$5:$D$753,2,0)</f>
        <v>DA+6</v>
      </c>
      <c r="F116" s="110">
        <v>45982</v>
      </c>
      <c r="G116" s="110">
        <v>45982</v>
      </c>
      <c r="H116" s="10" t="s">
        <v>1194</v>
      </c>
      <c r="I116" s="63" t="s">
        <v>1557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69" t="s">
        <v>476</v>
      </c>
      <c r="E117" s="65" t="str">
        <f>VLOOKUP(D117,Erection!$C$5:$D$753,2,0)</f>
        <v>DA+1.5</v>
      </c>
      <c r="F117" s="110">
        <v>45983</v>
      </c>
      <c r="G117" s="110">
        <v>45983</v>
      </c>
      <c r="H117" s="10" t="s">
        <v>1194</v>
      </c>
      <c r="I117" s="63" t="s">
        <v>1557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69" t="s">
        <v>477</v>
      </c>
      <c r="E118" s="65" t="str">
        <f>VLOOKUP(D118,Erection!$C$5:$D$753,2,0)</f>
        <v>DA-1.5</v>
      </c>
      <c r="F118" s="110">
        <v>45984</v>
      </c>
      <c r="G118" s="110">
        <v>45984</v>
      </c>
      <c r="H118" s="10" t="s">
        <v>1194</v>
      </c>
      <c r="I118" s="63" t="s">
        <v>1557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69" t="s">
        <v>492</v>
      </c>
      <c r="E119" s="65" t="str">
        <f>VLOOKUP(D119,Erection!$C$5:$D$753,2,0)</f>
        <v>DA+1.5</v>
      </c>
      <c r="F119" s="110">
        <v>45984</v>
      </c>
      <c r="G119" s="110">
        <v>45984</v>
      </c>
      <c r="H119" s="10" t="s">
        <v>1194</v>
      </c>
      <c r="I119" s="63" t="s">
        <v>1557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69" t="s">
        <v>468</v>
      </c>
      <c r="E120" s="65" t="str">
        <f>VLOOKUP(D120,Erection!$C$5:$D$753,2,0)</f>
        <v>DA+9</v>
      </c>
      <c r="F120" s="114">
        <v>45987</v>
      </c>
      <c r="G120" s="114">
        <v>45988</v>
      </c>
      <c r="H120" s="10" t="s">
        <v>1194</v>
      </c>
      <c r="I120" s="63" t="s">
        <v>1557</v>
      </c>
      <c r="J120" s="10" t="s">
        <v>964</v>
      </c>
      <c r="K120" s="10"/>
    </row>
    <row r="121" spans="2:11">
      <c r="B121" s="10">
        <v>117</v>
      </c>
      <c r="C121" s="10">
        <v>1</v>
      </c>
      <c r="D121" s="669" t="s">
        <v>459</v>
      </c>
      <c r="E121" s="65" t="str">
        <f>VLOOKUP(D121,Erection!$C$5:$D$753,2,0)</f>
        <v>DA+6</v>
      </c>
      <c r="F121" s="114">
        <v>45992</v>
      </c>
      <c r="G121" s="114">
        <v>45993</v>
      </c>
      <c r="H121" s="10" t="s">
        <v>1194</v>
      </c>
      <c r="I121" s="63" t="s">
        <v>1592</v>
      </c>
      <c r="J121" s="10" t="s">
        <v>964</v>
      </c>
      <c r="K121" s="10"/>
    </row>
    <row r="122" spans="2:11">
      <c r="B122" s="10">
        <v>118</v>
      </c>
      <c r="C122" s="10">
        <v>2</v>
      </c>
      <c r="D122" s="669" t="s">
        <v>460</v>
      </c>
      <c r="E122" s="65" t="str">
        <f>VLOOKUP(D122,Erection!$C$5:$D$753,2,0)</f>
        <v>DA+9</v>
      </c>
      <c r="F122" s="114">
        <v>45994</v>
      </c>
      <c r="G122" s="114">
        <v>45995</v>
      </c>
      <c r="H122" s="10" t="s">
        <v>1194</v>
      </c>
      <c r="I122" s="63" t="s">
        <v>1592</v>
      </c>
      <c r="J122" s="10" t="s">
        <v>964</v>
      </c>
      <c r="K122" s="10"/>
    </row>
    <row r="123" spans="2:11">
      <c r="B123" s="10">
        <v>119</v>
      </c>
      <c r="C123" s="10">
        <v>3</v>
      </c>
      <c r="D123" s="669" t="s">
        <v>461</v>
      </c>
      <c r="E123" s="65" t="str">
        <f>VLOOKUP(D123,Erection!$C$5:$D$753,2,0)</f>
        <v>DA+9</v>
      </c>
      <c r="F123" s="114">
        <v>46012</v>
      </c>
      <c r="G123" s="114">
        <v>46012</v>
      </c>
      <c r="H123" s="10" t="s">
        <v>1194</v>
      </c>
      <c r="I123" s="63"/>
      <c r="J123" s="10" t="s">
        <v>964</v>
      </c>
      <c r="K123" s="10"/>
    </row>
    <row r="124" spans="2:11">
      <c r="B124" s="10">
        <v>120</v>
      </c>
      <c r="C124" s="10">
        <v>4</v>
      </c>
      <c r="D124" s="669" t="s">
        <v>462</v>
      </c>
      <c r="E124" s="65" t="str">
        <f>VLOOKUP(D124,Erection!$C$5:$D$753,2,0)</f>
        <v>DA-1.5</v>
      </c>
      <c r="F124" s="114">
        <v>46014</v>
      </c>
      <c r="G124" s="114">
        <v>46014</v>
      </c>
      <c r="H124" s="10" t="s">
        <v>1194</v>
      </c>
      <c r="I124" s="63"/>
      <c r="J124" s="10" t="s">
        <v>964</v>
      </c>
      <c r="K124" s="10"/>
    </row>
    <row r="125" spans="2:11">
      <c r="B125" s="10">
        <v>121</v>
      </c>
      <c r="C125" s="10">
        <v>5</v>
      </c>
      <c r="D125" s="669" t="s">
        <v>463</v>
      </c>
      <c r="E125" s="65" t="str">
        <f>VLOOKUP(D125,Erection!$C$5:$D$753,2,0)</f>
        <v>DA+6</v>
      </c>
      <c r="F125" s="114">
        <v>46016</v>
      </c>
      <c r="G125" s="114">
        <v>46016</v>
      </c>
      <c r="H125" s="10" t="s">
        <v>1194</v>
      </c>
      <c r="I125" s="63"/>
      <c r="J125" s="10" t="s">
        <v>964</v>
      </c>
      <c r="K125" s="10"/>
    </row>
    <row r="126" spans="2:11">
      <c r="B126" s="10">
        <v>122</v>
      </c>
      <c r="C126" s="10">
        <v>6</v>
      </c>
      <c r="D126" s="669" t="s">
        <v>895</v>
      </c>
      <c r="E126" s="65" t="str">
        <f>VLOOKUP(D126,Erection!$C$5:$D$753,2,0)</f>
        <v>DA+9</v>
      </c>
      <c r="F126" s="114">
        <v>46018</v>
      </c>
      <c r="G126" s="114">
        <v>46018</v>
      </c>
      <c r="H126" s="10" t="s">
        <v>1194</v>
      </c>
      <c r="I126" s="63"/>
      <c r="J126" s="10" t="s">
        <v>964</v>
      </c>
      <c r="K126" s="10"/>
    </row>
    <row r="127" spans="2:11">
      <c r="B127" s="10">
        <v>123</v>
      </c>
      <c r="C127" s="10">
        <v>7</v>
      </c>
      <c r="D127" s="669" t="s">
        <v>894</v>
      </c>
      <c r="E127" s="65" t="str">
        <f>VLOOKUP(D127,Erection!$C$5:$D$753,2,0)</f>
        <v>DA+6</v>
      </c>
      <c r="F127" s="114">
        <v>46019</v>
      </c>
      <c r="G127" s="114">
        <v>46019</v>
      </c>
      <c r="H127" s="10" t="s">
        <v>1194</v>
      </c>
      <c r="I127" s="63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65" t="str">
        <f>VLOOKUP(D128,Erection!$C$5:$D$753,2,0)</f>
        <v>DA+6</v>
      </c>
      <c r="F128" s="114">
        <v>46020</v>
      </c>
      <c r="G128" s="114">
        <v>46020</v>
      </c>
      <c r="H128" s="10" t="s">
        <v>1194</v>
      </c>
      <c r="I128" s="63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65" t="str">
        <f>VLOOKUP(D129,Erection!$C$5:$D$753,2,0)</f>
        <v>DA+6</v>
      </c>
      <c r="F129" s="114">
        <v>46021</v>
      </c>
      <c r="G129" s="114">
        <v>46021</v>
      </c>
      <c r="H129" s="10" t="s">
        <v>1194</v>
      </c>
      <c r="I129" s="63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65" t="str">
        <f>VLOOKUP(D130,Erection!$C$5:$D$753,2,0)</f>
        <v>DA+9</v>
      </c>
      <c r="F130" s="114">
        <v>46022</v>
      </c>
      <c r="G130" s="114">
        <v>46022</v>
      </c>
      <c r="H130" s="10" t="s">
        <v>1194</v>
      </c>
      <c r="I130" s="63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65" t="str">
        <f>VLOOKUP(D131,Erection!$C$5:$D$753,2,0)</f>
        <v>DA+9</v>
      </c>
      <c r="F131" s="114">
        <v>46023</v>
      </c>
      <c r="G131" s="114">
        <v>46023</v>
      </c>
      <c r="H131" s="10" t="s">
        <v>1194</v>
      </c>
      <c r="I131" s="63"/>
      <c r="J131" s="10" t="s">
        <v>964</v>
      </c>
      <c r="K131" s="10"/>
    </row>
    <row r="132" spans="2:11">
      <c r="B132" s="10">
        <v>128</v>
      </c>
      <c r="C132" s="10">
        <v>2</v>
      </c>
      <c r="D132" s="669" t="s">
        <v>449</v>
      </c>
      <c r="E132" s="65" t="str">
        <f>VLOOKUP(D132,Erection!$C$5:$D$753,2,0)</f>
        <v>DA+0</v>
      </c>
      <c r="F132" s="114">
        <v>46024</v>
      </c>
      <c r="G132" s="114">
        <v>46024</v>
      </c>
      <c r="H132" s="10" t="s">
        <v>1194</v>
      </c>
      <c r="I132" s="63"/>
      <c r="J132" s="10" t="s">
        <v>964</v>
      </c>
      <c r="K132" s="10"/>
    </row>
    <row r="133" spans="2:11">
      <c r="B133" s="10">
        <v>129</v>
      </c>
      <c r="C133" s="10">
        <v>3</v>
      </c>
      <c r="D133" s="669" t="s">
        <v>450</v>
      </c>
      <c r="E133" s="65" t="str">
        <f>VLOOKUP(D133,Erection!$C$5:$D$753,2,0)</f>
        <v>DA+0</v>
      </c>
      <c r="F133" s="114">
        <v>46025</v>
      </c>
      <c r="G133" s="114">
        <v>46025</v>
      </c>
      <c r="H133" s="10" t="s">
        <v>1194</v>
      </c>
      <c r="I133" s="63"/>
      <c r="J133" s="10" t="s">
        <v>964</v>
      </c>
      <c r="K133" s="10"/>
    </row>
    <row r="134" spans="2:11">
      <c r="B134" s="10">
        <v>130</v>
      </c>
      <c r="C134" s="10">
        <v>4</v>
      </c>
      <c r="D134" s="669" t="s">
        <v>452</v>
      </c>
      <c r="E134" s="65" t="str">
        <f>VLOOKUP(D134,Erection!$C$5:$D$753,2,0)</f>
        <v>DA+4.5</v>
      </c>
      <c r="F134" s="114">
        <v>46026</v>
      </c>
      <c r="G134" s="114">
        <v>46026</v>
      </c>
      <c r="H134" s="10" t="s">
        <v>1194</v>
      </c>
      <c r="I134" s="63"/>
      <c r="J134" s="10" t="s">
        <v>964</v>
      </c>
      <c r="K134" s="10"/>
    </row>
    <row r="135" spans="2:11">
      <c r="B135" s="10">
        <v>131</v>
      </c>
      <c r="C135" s="10">
        <v>5</v>
      </c>
      <c r="D135" s="669" t="s">
        <v>451</v>
      </c>
      <c r="E135" s="65" t="str">
        <f>VLOOKUP(D135,Erection!$C$5:$D$753,2,0)</f>
        <v>DA+1.5</v>
      </c>
      <c r="F135" s="114">
        <v>46027</v>
      </c>
      <c r="G135" s="114">
        <v>46027</v>
      </c>
      <c r="H135" s="10" t="s">
        <v>1194</v>
      </c>
      <c r="I135" s="63"/>
      <c r="J135" s="10" t="s">
        <v>964</v>
      </c>
      <c r="K135" s="10"/>
    </row>
    <row r="136" spans="2:11">
      <c r="B136" s="10">
        <v>132</v>
      </c>
      <c r="C136" s="10">
        <v>6</v>
      </c>
      <c r="D136" s="669" t="s">
        <v>448</v>
      </c>
      <c r="E136" s="65" t="str">
        <f>VLOOKUP(D136,Erection!$C$5:$D$753,2,0)</f>
        <v>DA+9</v>
      </c>
      <c r="F136" s="114">
        <v>46029</v>
      </c>
      <c r="G136" s="114">
        <v>46029</v>
      </c>
      <c r="H136" s="10" t="s">
        <v>1194</v>
      </c>
      <c r="I136" s="63"/>
      <c r="J136" s="10" t="s">
        <v>964</v>
      </c>
      <c r="K136" s="10"/>
    </row>
    <row r="137" spans="2:11">
      <c r="B137" s="10">
        <v>133</v>
      </c>
      <c r="C137" s="10">
        <v>7</v>
      </c>
      <c r="D137" s="669" t="s">
        <v>447</v>
      </c>
      <c r="E137" s="65" t="str">
        <f>VLOOKUP(D137,Erection!$C$5:$D$753,2,0)</f>
        <v>DA+6</v>
      </c>
      <c r="F137" s="114">
        <v>46030</v>
      </c>
      <c r="G137" s="114">
        <v>46030</v>
      </c>
      <c r="H137" s="10" t="s">
        <v>1194</v>
      </c>
      <c r="I137" s="63"/>
      <c r="J137" s="10" t="s">
        <v>964</v>
      </c>
      <c r="K137" s="10"/>
    </row>
    <row r="138" spans="2:11">
      <c r="B138" s="10">
        <v>134</v>
      </c>
      <c r="C138" s="10">
        <v>8</v>
      </c>
      <c r="D138" s="669" t="s">
        <v>446</v>
      </c>
      <c r="E138" s="65" t="str">
        <f>VLOOKUP(D138,Erection!$C$5:$D$753,2,0)</f>
        <v>DA-1.5</v>
      </c>
      <c r="F138" s="114">
        <v>46031</v>
      </c>
      <c r="G138" s="114">
        <v>46031</v>
      </c>
      <c r="H138" s="10" t="s">
        <v>1194</v>
      </c>
      <c r="I138" s="63"/>
      <c r="J138" s="10" t="s">
        <v>964</v>
      </c>
      <c r="K138" s="10"/>
    </row>
    <row r="139" spans="2:11">
      <c r="B139" s="10">
        <v>135</v>
      </c>
      <c r="C139" s="10">
        <v>9</v>
      </c>
      <c r="D139" s="669" t="s">
        <v>164</v>
      </c>
      <c r="E139" s="65" t="str">
        <f>VLOOKUP(D139,Erection!$C$5:$D$753,2,0)</f>
        <v>DA+3</v>
      </c>
      <c r="F139" s="114">
        <v>46032</v>
      </c>
      <c r="G139" s="114">
        <v>46032</v>
      </c>
      <c r="H139" s="10" t="s">
        <v>1194</v>
      </c>
      <c r="I139" s="63"/>
      <c r="J139" s="10" t="s">
        <v>964</v>
      </c>
      <c r="K139" s="10"/>
    </row>
    <row r="140" spans="2:11">
      <c r="B140" s="10">
        <v>136</v>
      </c>
      <c r="C140" s="10">
        <v>10</v>
      </c>
      <c r="D140" s="669" t="s">
        <v>163</v>
      </c>
      <c r="E140" s="65" t="str">
        <f>VLOOKUP(D140,Erection!$C$5:$D$753,2,0)</f>
        <v>DA+1.5</v>
      </c>
      <c r="F140" s="114">
        <v>46033</v>
      </c>
      <c r="G140" s="114">
        <v>46033</v>
      </c>
      <c r="H140" s="10" t="s">
        <v>1194</v>
      </c>
      <c r="I140" s="63"/>
      <c r="J140" s="10" t="s">
        <v>964</v>
      </c>
      <c r="K140" s="10"/>
    </row>
    <row r="141" spans="2:11">
      <c r="B141" s="10">
        <v>137</v>
      </c>
      <c r="C141" s="10">
        <v>11</v>
      </c>
      <c r="D141" s="669" t="s">
        <v>82</v>
      </c>
      <c r="E141" s="65" t="str">
        <f>VLOOKUP(D141,Erection!$C$5:$D$753,2,0)</f>
        <v>DA+3</v>
      </c>
      <c r="F141" s="114">
        <v>46034</v>
      </c>
      <c r="G141" s="114">
        <v>46034</v>
      </c>
      <c r="H141" s="10" t="s">
        <v>1194</v>
      </c>
      <c r="I141" s="63"/>
      <c r="J141" s="10" t="s">
        <v>964</v>
      </c>
      <c r="K141" s="10"/>
    </row>
    <row r="142" spans="2:11">
      <c r="B142" s="10">
        <v>138</v>
      </c>
      <c r="C142" s="10">
        <v>12</v>
      </c>
      <c r="D142" s="669" t="s">
        <v>9</v>
      </c>
      <c r="E142" s="65" t="str">
        <f>VLOOKUP(D142,Erection!$C$5:$D$753,2,0)</f>
        <v>DB1+0</v>
      </c>
      <c r="F142" s="114">
        <v>46035</v>
      </c>
      <c r="G142" s="114">
        <v>46036</v>
      </c>
      <c r="H142" s="10" t="s">
        <v>1194</v>
      </c>
      <c r="I142" s="63"/>
      <c r="J142" s="10" t="s">
        <v>964</v>
      </c>
      <c r="K142" s="10"/>
    </row>
    <row r="143" spans="2:11">
      <c r="B143" s="10">
        <v>139</v>
      </c>
      <c r="C143" s="10">
        <v>13</v>
      </c>
      <c r="D143" s="669" t="s">
        <v>70</v>
      </c>
      <c r="E143" s="65" t="str">
        <f>VLOOKUP(D143,Erection!$C$5:$D$753,2,0)</f>
        <v>DA+3</v>
      </c>
      <c r="F143" s="114">
        <v>46041</v>
      </c>
      <c r="G143" s="114">
        <v>46042</v>
      </c>
      <c r="H143" s="10" t="s">
        <v>1194</v>
      </c>
      <c r="I143" s="63"/>
      <c r="J143" s="10" t="s">
        <v>964</v>
      </c>
      <c r="K143" s="10"/>
    </row>
    <row r="144" spans="2:11">
      <c r="B144" s="10">
        <v>140</v>
      </c>
      <c r="C144" s="10">
        <v>14</v>
      </c>
      <c r="D144" s="669" t="s">
        <v>69</v>
      </c>
      <c r="E144" s="65" t="str">
        <f>VLOOKUP(D144,Erection!$C$5:$D$753,2,0)</f>
        <v>DA+9</v>
      </c>
      <c r="F144" s="114">
        <v>46042</v>
      </c>
      <c r="G144" s="114">
        <v>46043</v>
      </c>
      <c r="H144" s="10" t="s">
        <v>1194</v>
      </c>
      <c r="I144" s="63"/>
      <c r="J144" s="10" t="s">
        <v>964</v>
      </c>
      <c r="K144" s="10"/>
    </row>
    <row r="145" spans="2:11">
      <c r="B145" s="10">
        <v>141</v>
      </c>
      <c r="C145" s="10">
        <v>15</v>
      </c>
      <c r="D145" s="669" t="s">
        <v>573</v>
      </c>
      <c r="E145" s="65" t="str">
        <f>VLOOKUP(D145,Erection!$C$5:$D$753,2,0)</f>
        <v>DA+6</v>
      </c>
      <c r="F145" s="114">
        <v>46044</v>
      </c>
      <c r="G145" s="114">
        <v>46044</v>
      </c>
      <c r="H145" s="10" t="s">
        <v>1194</v>
      </c>
      <c r="I145" s="63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65" t="str">
        <f>VLOOKUP(D146,Erection!$C$5:$D$753,2,0)</f>
        <v>DD60+0</v>
      </c>
      <c r="F146" s="114">
        <v>46054</v>
      </c>
      <c r="G146" s="114">
        <v>46054</v>
      </c>
      <c r="H146" s="10" t="s">
        <v>1194</v>
      </c>
      <c r="I146" s="63"/>
      <c r="J146" s="10" t="s">
        <v>964</v>
      </c>
      <c r="K146" s="10" t="s">
        <v>1663</v>
      </c>
    </row>
    <row r="147" spans="2:11">
      <c r="B147" s="10">
        <v>143</v>
      </c>
      <c r="C147" s="10">
        <v>2</v>
      </c>
      <c r="D147" s="10" t="s">
        <v>1250</v>
      </c>
      <c r="E147" s="65" t="str">
        <f>VLOOKUP(D147,Erection!$C$5:$D$753,2,0)</f>
        <v>DD45+0</v>
      </c>
      <c r="F147" s="114">
        <v>46055</v>
      </c>
      <c r="G147" s="114">
        <v>46055</v>
      </c>
      <c r="H147" s="10" t="s">
        <v>1194</v>
      </c>
      <c r="I147" s="63"/>
      <c r="J147" s="10" t="s">
        <v>964</v>
      </c>
      <c r="K147" s="10" t="s">
        <v>1663</v>
      </c>
    </row>
    <row r="148" spans="2:11">
      <c r="B148" s="10">
        <v>144</v>
      </c>
      <c r="C148" s="10">
        <v>3</v>
      </c>
      <c r="D148" s="10" t="s">
        <v>1252</v>
      </c>
      <c r="E148" s="65" t="str">
        <f>VLOOKUP(D148,Erection!$C$5:$D$753,2,0)</f>
        <v>DA+0</v>
      </c>
      <c r="F148" s="114">
        <v>46056</v>
      </c>
      <c r="G148" s="114">
        <v>46056</v>
      </c>
      <c r="H148" s="10" t="s">
        <v>1194</v>
      </c>
      <c r="I148" s="63"/>
      <c r="J148" s="10" t="s">
        <v>964</v>
      </c>
      <c r="K148" s="10" t="s">
        <v>1663</v>
      </c>
    </row>
    <row r="149" spans="2:11">
      <c r="B149" s="10">
        <v>145</v>
      </c>
      <c r="C149" s="10">
        <v>4</v>
      </c>
      <c r="D149" s="10" t="s">
        <v>1253</v>
      </c>
      <c r="E149" s="65" t="str">
        <f>VLOOKUP(D149,Erection!$C$5:$D$753,2,0)</f>
        <v>DA+3</v>
      </c>
      <c r="F149" s="114">
        <v>46056</v>
      </c>
      <c r="G149" s="114">
        <v>46056</v>
      </c>
      <c r="H149" s="10" t="s">
        <v>1194</v>
      </c>
      <c r="I149" s="63"/>
      <c r="J149" s="10" t="s">
        <v>964</v>
      </c>
      <c r="K149" s="10" t="s">
        <v>1663</v>
      </c>
    </row>
    <row r="150" spans="2:11">
      <c r="B150" s="10">
        <v>146</v>
      </c>
      <c r="C150" s="10">
        <v>5</v>
      </c>
      <c r="D150" s="10" t="s">
        <v>1254</v>
      </c>
      <c r="E150" s="65" t="str">
        <f>VLOOKUP(D150,Erection!$C$5:$D$753,2,0)</f>
        <v>DA+3</v>
      </c>
      <c r="F150" s="114">
        <v>46057</v>
      </c>
      <c r="G150" s="114">
        <v>46057</v>
      </c>
      <c r="H150" s="10" t="s">
        <v>1194</v>
      </c>
      <c r="I150" s="63"/>
      <c r="J150" s="10" t="s">
        <v>964</v>
      </c>
      <c r="K150" s="10" t="s">
        <v>1663</v>
      </c>
    </row>
    <row r="151" spans="2:11">
      <c r="B151" s="10">
        <v>147</v>
      </c>
      <c r="C151" s="10">
        <v>6</v>
      </c>
      <c r="D151" s="10" t="s">
        <v>1255</v>
      </c>
      <c r="E151" s="65" t="str">
        <f>VLOOKUP(D151,Erection!$C$5:$D$753,2,0)</f>
        <v>DA+3</v>
      </c>
      <c r="F151" s="114">
        <v>46057</v>
      </c>
      <c r="G151" s="114">
        <v>46057</v>
      </c>
      <c r="H151" s="10" t="s">
        <v>1194</v>
      </c>
      <c r="I151" s="63"/>
      <c r="J151" s="10" t="s">
        <v>964</v>
      </c>
      <c r="K151" s="10" t="s">
        <v>1663</v>
      </c>
    </row>
    <row r="152" spans="2:11">
      <c r="B152" s="10">
        <v>148</v>
      </c>
      <c r="C152" s="10">
        <v>7</v>
      </c>
      <c r="D152" s="10" t="s">
        <v>1256</v>
      </c>
      <c r="E152" s="65" t="str">
        <f>VLOOKUP(D152,Erection!$C$5:$D$753,2,0)</f>
        <v>DA+3</v>
      </c>
      <c r="F152" s="114">
        <v>46058</v>
      </c>
      <c r="G152" s="114">
        <v>46058</v>
      </c>
      <c r="H152" s="10" t="s">
        <v>1194</v>
      </c>
      <c r="I152" s="63"/>
      <c r="J152" s="10" t="s">
        <v>964</v>
      </c>
      <c r="K152" s="10" t="s">
        <v>1663</v>
      </c>
    </row>
    <row r="153" spans="2:11">
      <c r="B153" s="10">
        <v>149</v>
      </c>
      <c r="C153" s="10">
        <v>8</v>
      </c>
      <c r="D153" s="10" t="s">
        <v>1257</v>
      </c>
      <c r="E153" s="65" t="str">
        <f>VLOOKUP(D153,Erection!$C$5:$D$753,2,0)</f>
        <v>DA+6</v>
      </c>
      <c r="F153" s="114">
        <v>46059</v>
      </c>
      <c r="G153" s="114">
        <v>46059</v>
      </c>
      <c r="H153" s="10" t="s">
        <v>1194</v>
      </c>
      <c r="I153" s="63"/>
      <c r="J153" s="10" t="s">
        <v>964</v>
      </c>
      <c r="K153" s="10" t="s">
        <v>1663</v>
      </c>
    </row>
    <row r="154" spans="2:11">
      <c r="B154" s="10">
        <v>150</v>
      </c>
      <c r="C154" s="10">
        <v>9</v>
      </c>
      <c r="D154" s="10" t="s">
        <v>1259</v>
      </c>
      <c r="E154" s="65" t="str">
        <f>VLOOKUP(D154,Erection!$C$5:$D$753,2,0)</f>
        <v>DA+3</v>
      </c>
      <c r="F154" s="114">
        <v>46060</v>
      </c>
      <c r="G154" s="114">
        <v>46060</v>
      </c>
      <c r="H154" s="10" t="s">
        <v>1194</v>
      </c>
      <c r="I154" s="63"/>
      <c r="J154" s="10" t="s">
        <v>964</v>
      </c>
      <c r="K154" s="10" t="s">
        <v>1663</v>
      </c>
    </row>
    <row r="155" spans="2:11">
      <c r="B155" s="10">
        <v>151</v>
      </c>
      <c r="C155" s="10">
        <v>10</v>
      </c>
      <c r="D155" s="669" t="s">
        <v>1260</v>
      </c>
      <c r="E155" s="65" t="str">
        <f>VLOOKUP(D155,Erection!$C$5:$D$753,2,0)</f>
        <v>DA+3</v>
      </c>
      <c r="F155" s="114">
        <v>46061</v>
      </c>
      <c r="G155" s="114">
        <v>46061</v>
      </c>
      <c r="H155" s="10" t="s">
        <v>1194</v>
      </c>
      <c r="I155" s="63"/>
      <c r="J155" s="10" t="s">
        <v>964</v>
      </c>
      <c r="K155" s="10" t="s">
        <v>1663</v>
      </c>
    </row>
    <row r="156" spans="2:11">
      <c r="B156" s="10">
        <v>152</v>
      </c>
      <c r="C156" s="10">
        <v>11</v>
      </c>
      <c r="D156" s="10" t="s">
        <v>1261</v>
      </c>
      <c r="E156" s="65" t="str">
        <f>VLOOKUP(D156,Erection!$C$5:$D$753,2,0)</f>
        <v>DA+0</v>
      </c>
      <c r="F156" s="114">
        <v>46062</v>
      </c>
      <c r="G156" s="114">
        <v>46062</v>
      </c>
      <c r="H156" s="10" t="s">
        <v>1194</v>
      </c>
      <c r="I156" s="63"/>
      <c r="J156" s="10" t="s">
        <v>964</v>
      </c>
      <c r="K156" s="10"/>
    </row>
    <row r="157" spans="2:11">
      <c r="B157" s="10">
        <v>153</v>
      </c>
      <c r="C157" s="10">
        <v>12</v>
      </c>
      <c r="D157" s="669" t="s">
        <v>1262</v>
      </c>
      <c r="E157" s="65" t="str">
        <f>VLOOKUP(D157,Erection!$C$5:$D$753,2,0)</f>
        <v>DA+0</v>
      </c>
      <c r="F157" s="114">
        <v>46063</v>
      </c>
      <c r="G157" s="114">
        <v>46063</v>
      </c>
      <c r="H157" s="10" t="s">
        <v>1194</v>
      </c>
      <c r="I157" s="63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65" t="str">
        <f>VLOOKUP(D158,Erection!$C$5:$D$753,2,0)</f>
        <v>DA+3</v>
      </c>
      <c r="F158" s="114">
        <v>46064</v>
      </c>
      <c r="G158" s="114">
        <v>46064</v>
      </c>
      <c r="H158" s="10" t="s">
        <v>1194</v>
      </c>
      <c r="I158" s="63"/>
      <c r="J158" s="10" t="s">
        <v>964</v>
      </c>
      <c r="K158" s="10"/>
    </row>
    <row r="159" spans="2:11">
      <c r="B159" s="10">
        <v>155</v>
      </c>
      <c r="C159" s="10">
        <v>14</v>
      </c>
      <c r="D159" s="669" t="s">
        <v>1264</v>
      </c>
      <c r="E159" s="65" t="str">
        <f>VLOOKUP(D159,Erection!$C$5:$D$753,2,0)</f>
        <v>DA+0</v>
      </c>
      <c r="F159" s="114">
        <v>46065</v>
      </c>
      <c r="G159" s="114">
        <v>46065</v>
      </c>
      <c r="H159" s="10" t="s">
        <v>1194</v>
      </c>
      <c r="I159" s="63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65" t="str">
        <f>VLOOKUP(D160,Erection!$C$5:$D$753,2,0)</f>
        <v>DB1+9</v>
      </c>
      <c r="F160" s="114">
        <v>46066</v>
      </c>
      <c r="G160" s="114">
        <v>46066</v>
      </c>
      <c r="H160" s="10" t="s">
        <v>1194</v>
      </c>
      <c r="I160" s="63"/>
      <c r="J160" s="10" t="s">
        <v>964</v>
      </c>
      <c r="K160" s="10" t="s">
        <v>1663</v>
      </c>
    </row>
    <row r="161" spans="2:11">
      <c r="B161" s="10">
        <v>157</v>
      </c>
      <c r="C161" s="10">
        <v>16</v>
      </c>
      <c r="D161" s="10" t="s">
        <v>1266</v>
      </c>
      <c r="E161" s="65" t="str">
        <f>VLOOKUP(D161,Erection!$C$5:$D$753,2,0)</f>
        <v>DA+3</v>
      </c>
      <c r="F161" s="114">
        <v>46067</v>
      </c>
      <c r="G161" s="114">
        <v>46067</v>
      </c>
      <c r="H161" s="10" t="s">
        <v>1194</v>
      </c>
      <c r="I161" s="63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65" t="str">
        <f>VLOOKUP(D162,Erection!$C$5:$D$753,2,0)</f>
        <v>DA+9</v>
      </c>
      <c r="F162" s="114">
        <v>46068</v>
      </c>
      <c r="G162" s="114">
        <v>46068</v>
      </c>
      <c r="H162" s="10" t="s">
        <v>1194</v>
      </c>
      <c r="I162" s="63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65" t="str">
        <f>VLOOKUP(D163,Erection!$C$5:$D$753,2,0)</f>
        <v>DA+6</v>
      </c>
      <c r="F163" s="114">
        <v>46069</v>
      </c>
      <c r="G163" s="114">
        <v>46069</v>
      </c>
      <c r="H163" s="10" t="s">
        <v>1194</v>
      </c>
      <c r="I163" s="63"/>
      <c r="J163" s="10" t="s">
        <v>964</v>
      </c>
      <c r="K163" s="10"/>
    </row>
    <row r="164" spans="2:11">
      <c r="B164" s="10">
        <v>160</v>
      </c>
      <c r="C164" s="10">
        <v>19</v>
      </c>
      <c r="D164" s="669" t="s">
        <v>256</v>
      </c>
      <c r="E164" s="65" t="str">
        <f>VLOOKUP(D164,Erection!$C$5:$D$753,2,0)</f>
        <v>DB2+9</v>
      </c>
      <c r="F164" s="114">
        <v>46070</v>
      </c>
      <c r="G164" s="114">
        <v>46070</v>
      </c>
      <c r="H164" s="10" t="s">
        <v>1194</v>
      </c>
      <c r="I164" s="63"/>
      <c r="J164" s="10" t="s">
        <v>964</v>
      </c>
      <c r="K164" s="10" t="s">
        <v>1663</v>
      </c>
    </row>
    <row r="165" spans="2:11">
      <c r="B165" s="10">
        <v>161</v>
      </c>
      <c r="C165" s="10">
        <v>20</v>
      </c>
      <c r="D165" s="669" t="s">
        <v>458</v>
      </c>
      <c r="E165" s="65" t="e">
        <f>VLOOKUP(D165,Erection!$C$5:$D$753,2,0)</f>
        <v>#N/A</v>
      </c>
      <c r="F165" s="114">
        <v>46071</v>
      </c>
      <c r="G165" s="114">
        <v>46071</v>
      </c>
      <c r="H165" s="10" t="s">
        <v>1194</v>
      </c>
      <c r="I165" s="63"/>
      <c r="J165" s="10" t="s">
        <v>964</v>
      </c>
      <c r="K165" s="10" t="s">
        <v>1663</v>
      </c>
    </row>
    <row r="166" spans="2:11">
      <c r="B166" s="10">
        <v>162</v>
      </c>
      <c r="C166" s="10">
        <v>21</v>
      </c>
      <c r="D166" s="10" t="s">
        <v>892</v>
      </c>
      <c r="E166" s="65" t="str">
        <f>VLOOKUP(D166,Erection!$C$5:$D$753,2,0)</f>
        <v>DB1+3</v>
      </c>
      <c r="F166" s="114">
        <v>46072</v>
      </c>
      <c r="G166" s="114">
        <v>46072</v>
      </c>
      <c r="H166" s="10" t="s">
        <v>1194</v>
      </c>
      <c r="I166" s="63"/>
      <c r="J166" s="10" t="s">
        <v>964</v>
      </c>
      <c r="K166" s="10" t="s">
        <v>1663</v>
      </c>
    </row>
    <row r="167" spans="2:11">
      <c r="B167" s="10">
        <v>163</v>
      </c>
      <c r="C167" s="10">
        <v>22</v>
      </c>
      <c r="D167" s="669" t="s">
        <v>257</v>
      </c>
      <c r="E167" s="65" t="str">
        <f>VLOOKUP(D167,Erection!$C$5:$D$753,2,0)</f>
        <v>DB1+6</v>
      </c>
      <c r="F167" s="114">
        <v>46073</v>
      </c>
      <c r="G167" s="114">
        <v>46073</v>
      </c>
      <c r="H167" s="10" t="s">
        <v>1194</v>
      </c>
      <c r="I167" s="63"/>
      <c r="J167" s="10" t="s">
        <v>964</v>
      </c>
      <c r="K167" s="10" t="s">
        <v>1663</v>
      </c>
    </row>
    <row r="168" spans="2:11">
      <c r="B168" s="10">
        <v>164</v>
      </c>
      <c r="C168" s="10">
        <v>23</v>
      </c>
      <c r="D168" s="669" t="s">
        <v>466</v>
      </c>
      <c r="E168" s="65" t="str">
        <f>VLOOKUP(D168,Erection!$C$5:$D$753,2,0)</f>
        <v>DA+6</v>
      </c>
      <c r="F168" s="114">
        <v>46074</v>
      </c>
      <c r="G168" s="114">
        <v>46074</v>
      </c>
      <c r="H168" s="10" t="s">
        <v>1194</v>
      </c>
      <c r="I168" s="63"/>
      <c r="J168" s="10" t="s">
        <v>964</v>
      </c>
      <c r="K168" s="10"/>
    </row>
    <row r="169" spans="2:11">
      <c r="B169" s="10">
        <v>165</v>
      </c>
      <c r="C169" s="10">
        <v>24</v>
      </c>
      <c r="D169" s="669" t="s">
        <v>467</v>
      </c>
      <c r="E169" s="65" t="str">
        <f>VLOOKUP(D169,Erection!$C$5:$D$753,2,0)</f>
        <v>DA+6</v>
      </c>
      <c r="F169" s="114">
        <v>46075</v>
      </c>
      <c r="G169" s="114">
        <v>46075</v>
      </c>
      <c r="H169" s="10" t="s">
        <v>1194</v>
      </c>
      <c r="I169" s="63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65" t="str">
        <f>VLOOKUP(D170,Erection!$C$5:$D$753,2,0)</f>
        <v>DB1+12</v>
      </c>
      <c r="F170" s="114">
        <v>46076</v>
      </c>
      <c r="G170" s="114">
        <v>46076</v>
      </c>
      <c r="H170" s="10" t="s">
        <v>1194</v>
      </c>
      <c r="I170" s="63"/>
      <c r="J170" s="10" t="s">
        <v>964</v>
      </c>
      <c r="K170" s="10"/>
    </row>
    <row r="171" spans="2:11">
      <c r="B171" s="10">
        <v>167</v>
      </c>
      <c r="C171" s="10">
        <v>26</v>
      </c>
      <c r="D171" s="669" t="s">
        <v>481</v>
      </c>
      <c r="E171" s="65" t="str">
        <f>VLOOKUP(D171,Erection!$C$5:$D$753,2,0)</f>
        <v>DA+6</v>
      </c>
      <c r="F171" s="114">
        <v>46077</v>
      </c>
      <c r="G171" s="114">
        <v>46077</v>
      </c>
      <c r="H171" s="10" t="s">
        <v>1194</v>
      </c>
      <c r="I171" s="63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5" t="str">
        <f>VLOOKUP(D172,Erection!$C$5:$D$753,2,0)</f>
        <v>DB1+12</v>
      </c>
      <c r="F172" s="114">
        <v>46078</v>
      </c>
      <c r="G172" s="114">
        <v>46078</v>
      </c>
      <c r="H172" s="10" t="s">
        <v>1194</v>
      </c>
      <c r="I172" s="63"/>
      <c r="J172" s="10" t="s">
        <v>964</v>
      </c>
      <c r="K172" s="10"/>
    </row>
    <row r="173" spans="2:11">
      <c r="B173" s="10">
        <v>169</v>
      </c>
      <c r="C173" s="10">
        <v>28</v>
      </c>
      <c r="D173" s="1032" t="s">
        <v>417</v>
      </c>
      <c r="E173" s="65" t="str">
        <f>VLOOKUP(D173,Erection!$C$5:$D$753,2,0)</f>
        <v>DA+6</v>
      </c>
      <c r="F173" s="114">
        <v>46079</v>
      </c>
      <c r="G173" s="114">
        <v>46079</v>
      </c>
      <c r="H173" s="10" t="s">
        <v>1194</v>
      </c>
      <c r="I173" s="63"/>
      <c r="J173" s="10" t="s">
        <v>964</v>
      </c>
      <c r="K173" s="10"/>
    </row>
    <row r="174" spans="2:11">
      <c r="B174" s="10">
        <v>170</v>
      </c>
      <c r="C174" s="10">
        <v>29</v>
      </c>
      <c r="D174" s="669" t="s">
        <v>60</v>
      </c>
      <c r="E174" s="65" t="str">
        <f>VLOOKUP(D174,Erection!$C$5:$D$753,2,0)</f>
        <v>DD60+35</v>
      </c>
      <c r="F174" s="114">
        <v>46080</v>
      </c>
      <c r="G174" s="114">
        <v>46080</v>
      </c>
      <c r="H174" s="10" t="s">
        <v>1194</v>
      </c>
      <c r="I174" s="63"/>
      <c r="J174" s="10" t="s">
        <v>964</v>
      </c>
      <c r="K174" s="10" t="s">
        <v>1663</v>
      </c>
    </row>
    <row r="175" spans="2:11">
      <c r="B175" s="10">
        <v>171</v>
      </c>
      <c r="C175" s="10">
        <v>30</v>
      </c>
      <c r="D175" s="669" t="s">
        <v>432</v>
      </c>
      <c r="E175" s="65" t="str">
        <f>VLOOKUP(D175,Erection!$C$5:$D$753,2,0)</f>
        <v>DA+6</v>
      </c>
      <c r="F175" s="114">
        <v>46081</v>
      </c>
      <c r="G175" s="114">
        <v>46081</v>
      </c>
      <c r="H175" s="10" t="s">
        <v>1194</v>
      </c>
      <c r="I175" s="63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65" t="str">
        <f>VLOOKUP(D176,Erection!$C$5:$D$753,2,0)</f>
        <v>DB1+0</v>
      </c>
      <c r="F176" s="114">
        <v>46082</v>
      </c>
      <c r="G176" s="114">
        <v>46082</v>
      </c>
      <c r="H176" s="10" t="s">
        <v>1194</v>
      </c>
      <c r="I176" s="63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65" t="str">
        <f>VLOOKUP(D177,Erection!$C$5:$D$753,2,0)</f>
        <v>DA+9</v>
      </c>
      <c r="F177" s="114">
        <v>46083</v>
      </c>
      <c r="G177" s="114">
        <v>46083</v>
      </c>
      <c r="H177" s="10" t="s">
        <v>1194</v>
      </c>
      <c r="I177" s="63"/>
      <c r="J177" s="10" t="s">
        <v>964</v>
      </c>
      <c r="K177" s="10" t="s">
        <v>1663</v>
      </c>
    </row>
    <row r="178" spans="2:11">
      <c r="B178" s="10">
        <v>174</v>
      </c>
      <c r="C178" s="10">
        <v>3</v>
      </c>
      <c r="D178" s="669" t="s">
        <v>438</v>
      </c>
      <c r="E178" s="65" t="str">
        <f>VLOOKUP(D178,Erection!$C$5:$D$753,2,0)</f>
        <v>DA+3</v>
      </c>
      <c r="F178" s="114">
        <v>46086</v>
      </c>
      <c r="G178" s="114">
        <v>46086</v>
      </c>
      <c r="H178" s="10" t="s">
        <v>1194</v>
      </c>
      <c r="I178" s="63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65" t="str">
        <f>VLOOKUP(D179,Erection!$C$5:$D$753,2,0)</f>
        <v>DA+9</v>
      </c>
      <c r="F179" s="114">
        <v>46086</v>
      </c>
      <c r="G179" s="114">
        <v>46086</v>
      </c>
      <c r="H179" s="10" t="s">
        <v>1194</v>
      </c>
      <c r="I179" s="63"/>
      <c r="J179" s="10" t="s">
        <v>964</v>
      </c>
      <c r="K179" s="10" t="s">
        <v>1663</v>
      </c>
    </row>
    <row r="180" spans="2:11">
      <c r="B180" s="10">
        <v>176</v>
      </c>
      <c r="C180" s="10">
        <v>5</v>
      </c>
      <c r="D180" s="669" t="s">
        <v>440</v>
      </c>
      <c r="E180" s="65" t="str">
        <f>VLOOKUP(D180,Erection!$C$5:$D$753,2,0)</f>
        <v>DA+0</v>
      </c>
      <c r="F180" s="114">
        <v>46086</v>
      </c>
      <c r="G180" s="114">
        <v>46086</v>
      </c>
      <c r="H180" s="10" t="s">
        <v>1194</v>
      </c>
      <c r="I180" s="63"/>
      <c r="J180" s="10" t="s">
        <v>964</v>
      </c>
      <c r="K180" s="10" t="s">
        <v>1663</v>
      </c>
    </row>
    <row r="181" spans="2:11">
      <c r="B181" s="10">
        <v>177</v>
      </c>
      <c r="C181" s="10">
        <v>6</v>
      </c>
      <c r="D181" s="10" t="s">
        <v>441</v>
      </c>
      <c r="E181" s="65" t="str">
        <f>VLOOKUP(D181,Erection!$C$5:$D$753,2,0)</f>
        <v>DA+6</v>
      </c>
      <c r="F181" s="114">
        <v>46087</v>
      </c>
      <c r="G181" s="114">
        <v>46087</v>
      </c>
      <c r="H181" s="10" t="s">
        <v>1194</v>
      </c>
      <c r="I181" s="63"/>
      <c r="J181" s="10" t="s">
        <v>964</v>
      </c>
      <c r="K181" s="10" t="s">
        <v>1663</v>
      </c>
    </row>
    <row r="182" spans="2:11">
      <c r="B182" s="10">
        <v>178</v>
      </c>
      <c r="C182" s="10">
        <v>7</v>
      </c>
      <c r="D182" s="669" t="s">
        <v>442</v>
      </c>
      <c r="E182" s="65" t="str">
        <f>VLOOKUP(D182,Erection!$C$5:$D$753,2,0)</f>
        <v>DA-3</v>
      </c>
      <c r="F182" s="114">
        <v>46087</v>
      </c>
      <c r="G182" s="114">
        <v>46087</v>
      </c>
      <c r="H182" s="10" t="s">
        <v>1194</v>
      </c>
      <c r="I182" s="63"/>
      <c r="J182" s="10" t="s">
        <v>964</v>
      </c>
      <c r="K182" s="10" t="s">
        <v>1663</v>
      </c>
    </row>
    <row r="183" spans="2:11">
      <c r="B183" s="10">
        <v>179</v>
      </c>
      <c r="C183" s="10">
        <v>8</v>
      </c>
      <c r="D183" s="10" t="s">
        <v>443</v>
      </c>
      <c r="E183" s="65" t="str">
        <f>VLOOKUP(D183,Erection!$C$5:$D$753,2,0)</f>
        <v>DA+3</v>
      </c>
      <c r="F183" s="114">
        <v>46088</v>
      </c>
      <c r="G183" s="114">
        <v>46088</v>
      </c>
      <c r="H183" s="10" t="s">
        <v>1194</v>
      </c>
      <c r="I183" s="63"/>
      <c r="J183" s="10" t="s">
        <v>964</v>
      </c>
      <c r="K183" s="10" t="s">
        <v>1663</v>
      </c>
    </row>
    <row r="184" spans="2:11">
      <c r="B184" s="10">
        <v>180</v>
      </c>
      <c r="C184" s="10">
        <v>9</v>
      </c>
      <c r="D184" s="10" t="s">
        <v>444</v>
      </c>
      <c r="E184" s="65" t="str">
        <f>VLOOKUP(D184,Erection!$C$5:$D$753,2,0)</f>
        <v>DA-3</v>
      </c>
      <c r="F184" s="114">
        <v>46088</v>
      </c>
      <c r="G184" s="114">
        <v>46088</v>
      </c>
      <c r="H184" s="10" t="s">
        <v>1194</v>
      </c>
      <c r="I184" s="63"/>
      <c r="J184" s="10" t="s">
        <v>964</v>
      </c>
      <c r="K184" s="10" t="s">
        <v>1663</v>
      </c>
    </row>
    <row r="185" spans="2:11">
      <c r="B185" s="10">
        <v>181</v>
      </c>
      <c r="C185" s="10">
        <v>10</v>
      </c>
      <c r="D185" s="669" t="s">
        <v>445</v>
      </c>
      <c r="E185" s="65" t="str">
        <f>VLOOKUP(D185,Erection!$C$5:$D$753,2,0)</f>
        <v>DA+3</v>
      </c>
      <c r="F185" s="114">
        <v>46089</v>
      </c>
      <c r="G185" s="114">
        <v>46089</v>
      </c>
      <c r="H185" s="10" t="s">
        <v>1194</v>
      </c>
      <c r="I185" s="63"/>
      <c r="J185" s="10" t="s">
        <v>964</v>
      </c>
      <c r="K185" s="10" t="s">
        <v>1663</v>
      </c>
    </row>
    <row r="186" spans="2:11">
      <c r="B186" s="10">
        <v>182</v>
      </c>
      <c r="C186" s="10">
        <v>11</v>
      </c>
      <c r="D186" s="669" t="s">
        <v>66</v>
      </c>
      <c r="E186" s="65" t="str">
        <f>VLOOKUP(D186,Erection!$C$5:$D$753,2,0)</f>
        <v>DA+6</v>
      </c>
      <c r="F186" s="114">
        <v>46089</v>
      </c>
      <c r="G186" s="114">
        <v>46089</v>
      </c>
      <c r="H186" s="10" t="s">
        <v>1194</v>
      </c>
      <c r="I186" s="63"/>
      <c r="J186" s="10" t="s">
        <v>964</v>
      </c>
      <c r="K186" s="10"/>
    </row>
    <row r="187" spans="2:11">
      <c r="B187" s="10">
        <v>183</v>
      </c>
      <c r="C187" s="10">
        <v>12</v>
      </c>
      <c r="D187" s="669" t="s">
        <v>165</v>
      </c>
      <c r="E187" s="65" t="str">
        <f>VLOOKUP(D187,Erection!$C$5:$D$753,2,0)</f>
        <v>DA+9</v>
      </c>
      <c r="F187" s="114">
        <v>46090</v>
      </c>
      <c r="G187" s="114">
        <v>46090</v>
      </c>
      <c r="H187" s="10" t="s">
        <v>1194</v>
      </c>
      <c r="I187" s="63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65" t="str">
        <f>VLOOKUP(D188,Erection!$C$5:$D$753,2,0)</f>
        <v>DA+6</v>
      </c>
      <c r="F188" s="114">
        <v>46090</v>
      </c>
      <c r="G188" s="114">
        <v>46090</v>
      </c>
      <c r="H188" s="10" t="s">
        <v>1194</v>
      </c>
      <c r="I188" s="63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65" t="str">
        <f>VLOOKUP(D189,Erection!$C$5:$D$753,2,0)</f>
        <v>DB1+9</v>
      </c>
      <c r="F189" s="114">
        <v>46091</v>
      </c>
      <c r="G189" s="114">
        <v>46091</v>
      </c>
      <c r="H189" s="10" t="s">
        <v>1194</v>
      </c>
      <c r="I189" s="63"/>
      <c r="J189" s="10" t="s">
        <v>964</v>
      </c>
      <c r="K189" s="10"/>
    </row>
    <row r="190" spans="2:11">
      <c r="B190" s="10">
        <v>186</v>
      </c>
      <c r="C190" s="10">
        <v>15</v>
      </c>
      <c r="D190" s="669" t="s">
        <v>68</v>
      </c>
      <c r="E190" s="65" t="str">
        <f>VLOOKUP(D190,Erection!$C$5:$D$753,2,0)</f>
        <v>DA+9</v>
      </c>
      <c r="F190" s="114">
        <v>46091</v>
      </c>
      <c r="G190" s="114">
        <v>46091</v>
      </c>
      <c r="H190" s="10" t="s">
        <v>1194</v>
      </c>
      <c r="I190" s="63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5" t="str">
        <f>VLOOKUP(D191,Erection!$C$5:$D$753,2,0)</f>
        <v>DA+3</v>
      </c>
      <c r="F191" s="114">
        <v>46092</v>
      </c>
      <c r="G191" s="114">
        <v>46092</v>
      </c>
      <c r="H191" s="10" t="s">
        <v>1194</v>
      </c>
      <c r="I191" s="63"/>
      <c r="J191" s="10" t="s">
        <v>964</v>
      </c>
      <c r="K191" s="10"/>
    </row>
    <row r="192" spans="2:11">
      <c r="B192" s="10">
        <v>188</v>
      </c>
      <c r="C192" s="10">
        <v>17</v>
      </c>
      <c r="D192" s="669" t="s">
        <v>575</v>
      </c>
      <c r="E192" s="65" t="str">
        <f>VLOOKUP(D192,Erection!$C$5:$D$753,2,0)</f>
        <v>DA+1.5</v>
      </c>
      <c r="F192" s="114">
        <v>46092</v>
      </c>
      <c r="G192" s="114">
        <v>46092</v>
      </c>
      <c r="H192" s="10" t="s">
        <v>1194</v>
      </c>
      <c r="I192" s="63"/>
      <c r="J192" s="10" t="s">
        <v>964</v>
      </c>
      <c r="K192" s="10"/>
    </row>
    <row r="193" spans="2:11">
      <c r="B193" s="10">
        <v>189</v>
      </c>
      <c r="C193" s="10">
        <v>18</v>
      </c>
      <c r="D193" s="669" t="s">
        <v>593</v>
      </c>
      <c r="E193" s="65" t="str">
        <f>VLOOKUP(D193,Erection!$C$5:$D$753,2,0)</f>
        <v>DA+9</v>
      </c>
      <c r="F193" s="114">
        <v>46093</v>
      </c>
      <c r="G193" s="114">
        <v>46093</v>
      </c>
      <c r="H193" s="10" t="s">
        <v>1194</v>
      </c>
      <c r="I193" s="63"/>
      <c r="J193" s="10" t="s">
        <v>964</v>
      </c>
      <c r="K193" s="10"/>
    </row>
    <row r="194" spans="2:11">
      <c r="B194" s="10">
        <v>190</v>
      </c>
      <c r="C194" s="10">
        <v>19</v>
      </c>
      <c r="D194" s="669" t="s">
        <v>595</v>
      </c>
      <c r="E194" s="65" t="str">
        <f>VLOOKUP(D194,Erection!$C$5:$D$753,2,0)</f>
        <v>DA+6</v>
      </c>
      <c r="F194" s="114">
        <v>46093</v>
      </c>
      <c r="G194" s="114">
        <v>46093</v>
      </c>
      <c r="H194" s="10" t="s">
        <v>1194</v>
      </c>
      <c r="I194" s="63"/>
      <c r="J194" s="10" t="s">
        <v>964</v>
      </c>
      <c r="K194" s="10"/>
    </row>
    <row r="195" spans="2:11">
      <c r="B195" s="10">
        <v>191</v>
      </c>
      <c r="C195" s="10">
        <v>20</v>
      </c>
      <c r="D195" s="669" t="s">
        <v>598</v>
      </c>
      <c r="E195" s="65" t="str">
        <f>VLOOKUP(D195,Erection!$C$5:$D$753,2,0)</f>
        <v>DA+1.5</v>
      </c>
      <c r="F195" s="114">
        <v>46094</v>
      </c>
      <c r="G195" s="114">
        <v>46094</v>
      </c>
      <c r="H195" s="10" t="s">
        <v>1194</v>
      </c>
      <c r="I195" s="63"/>
      <c r="J195" s="10" t="s">
        <v>964</v>
      </c>
      <c r="K195" s="10"/>
    </row>
    <row r="196" spans="2:11">
      <c r="B196" s="10">
        <v>192</v>
      </c>
      <c r="C196" s="10">
        <v>21</v>
      </c>
      <c r="D196" s="669" t="s">
        <v>1071</v>
      </c>
      <c r="E196" s="65" t="str">
        <f>VLOOKUP(D196,Erection!$C$5:$D$753,2,0)</f>
        <v>DB1+9</v>
      </c>
      <c r="F196" s="114">
        <v>46094</v>
      </c>
      <c r="G196" s="114">
        <v>46094</v>
      </c>
      <c r="H196" s="10" t="s">
        <v>1194</v>
      </c>
      <c r="I196" s="63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65" t="str">
        <f>VLOOKUP(D197,Erection!$C$5:$D$753,2,0)</f>
        <v>DA+3</v>
      </c>
      <c r="F197" s="114">
        <v>46095</v>
      </c>
      <c r="G197" s="114">
        <v>46095</v>
      </c>
      <c r="H197" s="10" t="s">
        <v>1194</v>
      </c>
      <c r="I197" s="63"/>
      <c r="J197" s="10" t="s">
        <v>964</v>
      </c>
      <c r="K197" s="10"/>
    </row>
    <row r="198" spans="2:11">
      <c r="B198" s="10">
        <v>194</v>
      </c>
      <c r="C198" s="10">
        <v>23</v>
      </c>
      <c r="D198" s="669" t="s">
        <v>607</v>
      </c>
      <c r="E198" s="65" t="str">
        <f>VLOOKUP(D198,Erection!$C$5:$D$753,2,0)</f>
        <v>DA+3</v>
      </c>
      <c r="F198" s="114">
        <v>46095</v>
      </c>
      <c r="G198" s="114">
        <v>46095</v>
      </c>
      <c r="H198" s="10" t="s">
        <v>1194</v>
      </c>
      <c r="I198" s="63"/>
      <c r="J198" s="10" t="s">
        <v>964</v>
      </c>
      <c r="K198" s="10"/>
    </row>
    <row r="199" spans="2:11">
      <c r="B199" s="10">
        <v>195</v>
      </c>
      <c r="C199" s="10">
        <v>24</v>
      </c>
      <c r="D199" s="669" t="s">
        <v>74</v>
      </c>
      <c r="E199" s="65" t="str">
        <f>VLOOKUP(D199,Erection!$C$5:$D$753,2,0)</f>
        <v>DB1+6</v>
      </c>
      <c r="F199" s="114">
        <v>46096</v>
      </c>
      <c r="G199" s="114">
        <v>46096</v>
      </c>
      <c r="H199" s="10" t="s">
        <v>1194</v>
      </c>
      <c r="I199" s="63"/>
      <c r="J199" s="10" t="s">
        <v>964</v>
      </c>
      <c r="K199" s="10"/>
    </row>
    <row r="200" spans="2:11">
      <c r="B200" s="10">
        <v>196</v>
      </c>
      <c r="C200" s="10">
        <v>25</v>
      </c>
      <c r="D200" s="669" t="s">
        <v>1246</v>
      </c>
      <c r="E200" s="65" t="str">
        <f>VLOOKUP(D200,Erection!$C$5:$D$753,2,0)</f>
        <v>DB1+9</v>
      </c>
      <c r="F200" s="114">
        <f t="shared" ref="F200" si="0">F199</f>
        <v>46096</v>
      </c>
      <c r="G200" s="114">
        <f t="shared" ref="G200" si="1">F200</f>
        <v>46096</v>
      </c>
      <c r="H200" s="10" t="s">
        <v>1194</v>
      </c>
      <c r="I200" s="63"/>
      <c r="J200" s="10" t="s">
        <v>964</v>
      </c>
      <c r="K200" s="10"/>
    </row>
    <row r="201" spans="2:11">
      <c r="B201" s="10">
        <v>197</v>
      </c>
      <c r="C201" s="10">
        <v>26</v>
      </c>
      <c r="D201" s="1032" t="s">
        <v>371</v>
      </c>
      <c r="E201" s="65" t="str">
        <f>VLOOKUP(D201,Erection!$C$5:$D$753,2,0)</f>
        <v>DA+3</v>
      </c>
      <c r="F201" s="114">
        <v>46097</v>
      </c>
      <c r="G201" s="114">
        <v>46097</v>
      </c>
      <c r="H201" s="10" t="s">
        <v>1194</v>
      </c>
      <c r="I201" s="63"/>
      <c r="J201" s="10" t="s">
        <v>964</v>
      </c>
      <c r="K201" s="10" t="s">
        <v>1663</v>
      </c>
    </row>
    <row r="202" spans="2:11">
      <c r="B202" s="10">
        <v>198</v>
      </c>
      <c r="C202" s="10">
        <v>27</v>
      </c>
      <c r="D202" s="669" t="s">
        <v>372</v>
      </c>
      <c r="E202" s="65" t="str">
        <f>VLOOKUP(D202,Erection!$C$5:$D$753,2,0)</f>
        <v>DA+3</v>
      </c>
      <c r="F202" s="114">
        <v>46097</v>
      </c>
      <c r="G202" s="114">
        <v>46097</v>
      </c>
      <c r="H202" s="10" t="s">
        <v>1194</v>
      </c>
      <c r="I202" s="63"/>
      <c r="J202" s="10" t="s">
        <v>964</v>
      </c>
      <c r="K202" s="10" t="s">
        <v>1663</v>
      </c>
    </row>
    <row r="203" spans="2:11">
      <c r="B203" s="10">
        <v>199</v>
      </c>
      <c r="C203" s="10">
        <v>28</v>
      </c>
      <c r="D203" s="669" t="s">
        <v>408</v>
      </c>
      <c r="E203" s="65" t="str">
        <f>VLOOKUP(D203,Erection!$C$5:$D$753,2,0)</f>
        <v>DA+9</v>
      </c>
      <c r="F203" s="114">
        <v>46098</v>
      </c>
      <c r="G203" s="114">
        <v>46098</v>
      </c>
      <c r="H203" s="10" t="s">
        <v>1194</v>
      </c>
      <c r="I203" s="63"/>
      <c r="J203" s="10" t="s">
        <v>964</v>
      </c>
      <c r="K203" s="10" t="s">
        <v>1663</v>
      </c>
    </row>
    <row r="204" spans="2:11">
      <c r="B204" s="10">
        <v>200</v>
      </c>
      <c r="C204" s="10">
        <v>29</v>
      </c>
      <c r="D204" s="669" t="s">
        <v>264</v>
      </c>
      <c r="E204" s="65" t="str">
        <f>VLOOKUP(D204,Erection!$C$5:$D$753,2,0)</f>
        <v>DB1+6</v>
      </c>
      <c r="F204" s="114">
        <v>46098</v>
      </c>
      <c r="G204" s="114">
        <v>46098</v>
      </c>
      <c r="H204" s="10" t="s">
        <v>1194</v>
      </c>
      <c r="I204" s="63"/>
      <c r="J204" s="10" t="s">
        <v>964</v>
      </c>
      <c r="K204" s="10" t="s">
        <v>1663</v>
      </c>
    </row>
    <row r="205" spans="2:11">
      <c r="B205" s="10">
        <v>201</v>
      </c>
      <c r="C205" s="10">
        <v>30</v>
      </c>
      <c r="D205" s="669" t="s">
        <v>412</v>
      </c>
      <c r="E205" s="65" t="str">
        <f>VLOOKUP(D205,Erection!$C$5:$D$753,2,0)</f>
        <v>DA+3</v>
      </c>
      <c r="F205" s="114">
        <v>46099</v>
      </c>
      <c r="G205" s="114">
        <v>46099</v>
      </c>
      <c r="H205" s="10" t="s">
        <v>1194</v>
      </c>
      <c r="I205" s="63"/>
      <c r="J205" s="10" t="s">
        <v>964</v>
      </c>
      <c r="K205" s="10" t="s">
        <v>1663</v>
      </c>
    </row>
    <row r="206" spans="2:11">
      <c r="B206" s="10">
        <v>202</v>
      </c>
      <c r="C206" s="10">
        <v>31</v>
      </c>
      <c r="D206" s="669" t="s">
        <v>265</v>
      </c>
      <c r="E206" s="65" t="str">
        <f>VLOOKUP(D206,Erection!$C$5:$D$753,2,0)</f>
        <v>DD45+0</v>
      </c>
      <c r="F206" s="114">
        <v>46099</v>
      </c>
      <c r="G206" s="114">
        <v>46099</v>
      </c>
      <c r="H206" s="10" t="s">
        <v>1194</v>
      </c>
      <c r="I206" s="63"/>
      <c r="J206" s="10" t="s">
        <v>964</v>
      </c>
      <c r="K206" s="10" t="s">
        <v>1663</v>
      </c>
    </row>
    <row r="207" spans="2:11">
      <c r="B207" s="10">
        <v>203</v>
      </c>
      <c r="C207" s="10">
        <v>32</v>
      </c>
      <c r="D207" s="669" t="s">
        <v>266</v>
      </c>
      <c r="E207" s="65" t="str">
        <f>VLOOKUP(D207,Erection!$C$5:$D$753,2,0)</f>
        <v>DB1+9</v>
      </c>
      <c r="F207" s="114">
        <v>46100</v>
      </c>
      <c r="G207" s="114">
        <v>46100</v>
      </c>
      <c r="H207" s="10" t="s">
        <v>1194</v>
      </c>
      <c r="I207" s="63"/>
      <c r="J207" s="10" t="s">
        <v>964</v>
      </c>
      <c r="K207" s="10" t="s">
        <v>1663</v>
      </c>
    </row>
    <row r="208" spans="2:11">
      <c r="B208" s="10">
        <v>204</v>
      </c>
      <c r="C208" s="10">
        <v>33</v>
      </c>
      <c r="D208" s="10" t="s">
        <v>485</v>
      </c>
      <c r="E208" s="65" t="str">
        <f>VLOOKUP(D208,Erection!$C$5:$D$753,2,0)</f>
        <v>DB1+9</v>
      </c>
      <c r="F208" s="114">
        <v>46100</v>
      </c>
      <c r="G208" s="114">
        <v>46100</v>
      </c>
      <c r="H208" s="10" t="s">
        <v>1194</v>
      </c>
      <c r="I208" s="63"/>
      <c r="J208" s="10" t="s">
        <v>964</v>
      </c>
      <c r="K208" s="10" t="s">
        <v>1663</v>
      </c>
    </row>
    <row r="209" spans="2:11">
      <c r="B209" s="10">
        <v>205</v>
      </c>
      <c r="C209" s="10">
        <v>34</v>
      </c>
      <c r="D209" s="10" t="s">
        <v>11</v>
      </c>
      <c r="E209" s="65" t="str">
        <f>VLOOKUP(D209,Erection!$C$5:$D$753,2,0)</f>
        <v>DD60+18</v>
      </c>
      <c r="F209" s="114">
        <v>46101</v>
      </c>
      <c r="G209" s="114">
        <v>46101</v>
      </c>
      <c r="H209" s="10" t="s">
        <v>1194</v>
      </c>
      <c r="I209" s="63"/>
      <c r="J209" s="10" t="s">
        <v>964</v>
      </c>
      <c r="K209" s="10" t="s">
        <v>1663</v>
      </c>
    </row>
    <row r="210" spans="2:11">
      <c r="B210" s="10">
        <v>206</v>
      </c>
      <c r="C210" s="10">
        <v>35</v>
      </c>
      <c r="D210" s="669" t="s">
        <v>464</v>
      </c>
      <c r="E210" s="65" t="str">
        <f>VLOOKUP(D210,Erection!$C$5:$D$753,2,0)</f>
        <v>DA+3</v>
      </c>
      <c r="F210" s="114">
        <v>46101</v>
      </c>
      <c r="G210" s="114">
        <v>46101</v>
      </c>
      <c r="H210" s="10" t="s">
        <v>1194</v>
      </c>
      <c r="I210" s="63"/>
      <c r="J210" s="10" t="s">
        <v>964</v>
      </c>
      <c r="K210" s="10" t="s">
        <v>1663</v>
      </c>
    </row>
    <row r="211" spans="2:11">
      <c r="B211" s="10">
        <v>207</v>
      </c>
      <c r="C211" s="10">
        <v>36</v>
      </c>
      <c r="D211" s="10" t="s">
        <v>1258</v>
      </c>
      <c r="E211" s="65" t="str">
        <f>VLOOKUP(D211,Erection!$C$5:$D$753,2,0)</f>
        <v>DD45+3</v>
      </c>
      <c r="F211" s="114">
        <v>46102</v>
      </c>
      <c r="G211" s="114">
        <v>46102</v>
      </c>
      <c r="H211" s="10" t="s">
        <v>1194</v>
      </c>
      <c r="I211" s="63"/>
      <c r="J211" s="10" t="s">
        <v>964</v>
      </c>
      <c r="K211" s="10" t="s">
        <v>1663</v>
      </c>
    </row>
    <row r="212" spans="2:11">
      <c r="B212" s="10">
        <v>208</v>
      </c>
      <c r="C212" s="10">
        <v>37</v>
      </c>
      <c r="D212" s="669" t="s">
        <v>409</v>
      </c>
      <c r="E212" s="65" t="str">
        <f>VLOOKUP(D212,Erection!$C$5:$D$753,2,0)</f>
        <v>DA+0</v>
      </c>
      <c r="F212" s="1223" t="s">
        <v>1678</v>
      </c>
      <c r="G212" s="1223" t="s">
        <v>1678</v>
      </c>
      <c r="H212" s="10" t="s">
        <v>1194</v>
      </c>
      <c r="I212" s="63"/>
      <c r="J212" s="10" t="s">
        <v>964</v>
      </c>
      <c r="K212" s="10"/>
    </row>
    <row r="213" spans="2:11">
      <c r="B213" s="10">
        <v>209</v>
      </c>
      <c r="C213" s="10">
        <v>38</v>
      </c>
      <c r="D213" s="669" t="s">
        <v>410</v>
      </c>
      <c r="E213" s="65" t="str">
        <f>VLOOKUP(D213,Erection!$C$5:$D$753,2,0)</f>
        <v>DA+0</v>
      </c>
      <c r="F213" s="114">
        <v>46104</v>
      </c>
      <c r="G213" s="114">
        <v>46104</v>
      </c>
      <c r="H213" s="10" t="s">
        <v>1194</v>
      </c>
      <c r="I213" s="63"/>
      <c r="J213" s="10" t="s">
        <v>964</v>
      </c>
      <c r="K213" s="10"/>
    </row>
    <row r="214" spans="2:11">
      <c r="B214" s="10">
        <v>210</v>
      </c>
      <c r="C214" s="10">
        <v>39</v>
      </c>
      <c r="D214" s="669" t="s">
        <v>411</v>
      </c>
      <c r="E214" s="65" t="str">
        <f>VLOOKUP(D214,Erection!$C$5:$D$753,2,0)</f>
        <v>DA+3</v>
      </c>
      <c r="F214" s="114">
        <v>46105</v>
      </c>
      <c r="G214" s="114">
        <v>46105</v>
      </c>
      <c r="H214" s="10" t="s">
        <v>1194</v>
      </c>
      <c r="I214" s="63"/>
      <c r="J214" s="10" t="s">
        <v>964</v>
      </c>
      <c r="K214" s="10"/>
    </row>
    <row r="215" spans="2:11">
      <c r="B215" s="10">
        <v>211</v>
      </c>
      <c r="C215" s="10">
        <v>40</v>
      </c>
      <c r="D215" s="669" t="s">
        <v>465</v>
      </c>
      <c r="E215" s="65" t="str">
        <f>VLOOKUP(D215,Erection!$C$5:$D$753,2,0)</f>
        <v>DA+9</v>
      </c>
      <c r="F215" s="114">
        <v>46106</v>
      </c>
      <c r="G215" s="114">
        <v>46106</v>
      </c>
      <c r="H215" s="10" t="s">
        <v>1194</v>
      </c>
      <c r="I215" s="63"/>
      <c r="J215" s="10" t="s">
        <v>964</v>
      </c>
      <c r="K215" s="10"/>
    </row>
    <row r="216" spans="2:11" s="1193" customFormat="1">
      <c r="B216" s="10">
        <v>212</v>
      </c>
      <c r="C216" s="65">
        <v>1</v>
      </c>
      <c r="D216" s="65" t="s">
        <v>905</v>
      </c>
      <c r="E216" s="65" t="str">
        <f>VLOOKUP(D216,Erection!$C$5:$D$753,2,0)</f>
        <v>DA+6</v>
      </c>
      <c r="F216" s="726">
        <v>46112</v>
      </c>
      <c r="G216" s="726">
        <v>46113</v>
      </c>
      <c r="H216" s="65" t="s">
        <v>1194</v>
      </c>
      <c r="I216" s="64"/>
      <c r="J216" s="65" t="s">
        <v>964</v>
      </c>
      <c r="K216" s="1224"/>
    </row>
    <row r="217" spans="2:11">
      <c r="B217" s="10">
        <v>213</v>
      </c>
      <c r="C217" s="65">
        <v>2</v>
      </c>
      <c r="D217" s="75" t="s">
        <v>904</v>
      </c>
      <c r="E217" s="65" t="str">
        <f>VLOOKUP(D217,Erection!$C$5:$D$753,2,0)</f>
        <v>DA+3</v>
      </c>
      <c r="F217" s="726">
        <v>46114</v>
      </c>
      <c r="G217" s="726">
        <v>46115</v>
      </c>
      <c r="H217" s="65" t="s">
        <v>1194</v>
      </c>
      <c r="I217" s="64"/>
      <c r="J217" s="65" t="s">
        <v>964</v>
      </c>
    </row>
    <row r="218" spans="2:11">
      <c r="B218" s="10">
        <v>214</v>
      </c>
      <c r="C218" s="65">
        <v>3</v>
      </c>
      <c r="D218" s="65" t="s">
        <v>903</v>
      </c>
      <c r="E218" s="65" t="str">
        <f>VLOOKUP(D218,Erection!$C$5:$D$753,2,0)</f>
        <v>DA+6</v>
      </c>
      <c r="F218" s="726">
        <v>46116</v>
      </c>
      <c r="G218" s="726">
        <v>46117</v>
      </c>
      <c r="H218" s="65" t="s">
        <v>1194</v>
      </c>
      <c r="I218" s="64"/>
      <c r="J218" s="65" t="s">
        <v>964</v>
      </c>
    </row>
    <row r="219" spans="2:11">
      <c r="B219" s="10">
        <v>215</v>
      </c>
      <c r="C219" s="65">
        <v>4</v>
      </c>
      <c r="D219" s="65" t="s">
        <v>900</v>
      </c>
      <c r="E219" s="65" t="str">
        <f>VLOOKUP(D219,Erection!$C$5:$D$753,2,0)</f>
        <v>DB1+0</v>
      </c>
      <c r="F219" s="726">
        <v>46118</v>
      </c>
      <c r="G219" s="726">
        <v>46119</v>
      </c>
      <c r="H219" s="65" t="s">
        <v>1194</v>
      </c>
      <c r="I219" s="64"/>
      <c r="J219" s="65" t="s">
        <v>964</v>
      </c>
    </row>
    <row r="220" spans="2:11">
      <c r="B220" s="10">
        <v>216</v>
      </c>
      <c r="C220" s="65">
        <v>5</v>
      </c>
      <c r="D220" s="10" t="s">
        <v>56</v>
      </c>
      <c r="E220" s="65" t="str">
        <f>VLOOKUP(D220,Erection!$C$5:$D$753,2,0)</f>
        <v>DB2+9</v>
      </c>
      <c r="F220" s="114">
        <v>46120</v>
      </c>
      <c r="G220" s="114">
        <v>46121</v>
      </c>
      <c r="H220" s="65" t="s">
        <v>1194</v>
      </c>
      <c r="I220" s="63"/>
      <c r="J220" s="65" t="s">
        <v>964</v>
      </c>
    </row>
    <row r="221" spans="2:11">
      <c r="B221" s="10">
        <v>217</v>
      </c>
      <c r="C221" s="65">
        <v>6</v>
      </c>
      <c r="D221" s="10" t="s">
        <v>433</v>
      </c>
      <c r="E221" s="65" t="str">
        <f>VLOOKUP(D221,Erection!$C$5:$D$753,2,0)</f>
        <v>DA+0</v>
      </c>
      <c r="F221" s="114">
        <v>46122</v>
      </c>
      <c r="G221" s="114">
        <v>46122</v>
      </c>
      <c r="H221" s="65" t="s">
        <v>1194</v>
      </c>
      <c r="I221" s="63"/>
      <c r="J221" s="65" t="s">
        <v>964</v>
      </c>
    </row>
    <row r="222" spans="2:11">
      <c r="B222" s="10">
        <v>218</v>
      </c>
      <c r="C222" s="65">
        <v>7</v>
      </c>
      <c r="D222" s="10" t="s">
        <v>676</v>
      </c>
      <c r="E222" s="65" t="str">
        <f>VLOOKUP(D222,Erection!$C$5:$D$753,2,0)</f>
        <v>DB1+9</v>
      </c>
      <c r="F222" s="114">
        <v>46123</v>
      </c>
      <c r="G222" s="114">
        <v>46124</v>
      </c>
      <c r="H222" s="65" t="s">
        <v>1194</v>
      </c>
      <c r="I222" s="63"/>
      <c r="J222" s="65" t="s">
        <v>964</v>
      </c>
    </row>
    <row r="223" spans="2:11">
      <c r="B223" s="10">
        <v>219</v>
      </c>
      <c r="C223" s="65">
        <v>8</v>
      </c>
      <c r="D223" s="669" t="s">
        <v>413</v>
      </c>
      <c r="E223" s="65" t="str">
        <f>VLOOKUP(D223,Erection!$C$5:$D$753,2,0)</f>
        <v>DA+3</v>
      </c>
      <c r="F223" s="114">
        <v>46125</v>
      </c>
      <c r="G223" s="114">
        <v>46125</v>
      </c>
      <c r="H223" s="65" t="s">
        <v>1194</v>
      </c>
      <c r="I223" s="63"/>
      <c r="J223" s="65" t="s">
        <v>964</v>
      </c>
    </row>
    <row r="224" spans="2:11">
      <c r="B224" s="10">
        <v>220</v>
      </c>
      <c r="C224" s="65">
        <v>9</v>
      </c>
      <c r="D224" s="669" t="s">
        <v>414</v>
      </c>
      <c r="E224" s="65" t="str">
        <f>VLOOKUP(D224,Erection!$C$5:$D$753,2,0)</f>
        <v>DA+3</v>
      </c>
      <c r="F224" s="114">
        <v>46126</v>
      </c>
      <c r="G224" s="114">
        <v>46126</v>
      </c>
      <c r="H224" s="65" t="s">
        <v>1194</v>
      </c>
      <c r="I224" s="63"/>
      <c r="J224" s="65" t="s">
        <v>964</v>
      </c>
    </row>
    <row r="225" spans="2:10">
      <c r="B225" s="10">
        <v>221</v>
      </c>
      <c r="C225" s="65">
        <v>10</v>
      </c>
      <c r="D225" s="10" t="s">
        <v>64</v>
      </c>
      <c r="E225" s="65" t="str">
        <f>VLOOKUP(D225,Erection!$C$5:$D$753,2,0)</f>
        <v>DC1+0</v>
      </c>
      <c r="F225" s="114">
        <v>46126</v>
      </c>
      <c r="G225" s="114">
        <v>46126</v>
      </c>
      <c r="H225" s="65" t="s">
        <v>1194</v>
      </c>
      <c r="I225" s="63"/>
      <c r="J225" s="65" t="s">
        <v>964</v>
      </c>
    </row>
    <row r="226" spans="2:10">
      <c r="B226" s="10">
        <v>222</v>
      </c>
      <c r="C226" s="65">
        <v>11</v>
      </c>
      <c r="D226" s="1238" t="s">
        <v>420</v>
      </c>
      <c r="E226" s="65" t="str">
        <f>VLOOKUP(D226,Erection!$C$5:$D$753,2,0)</f>
        <v>DA+0</v>
      </c>
      <c r="F226" s="114">
        <v>46141</v>
      </c>
      <c r="G226" s="114">
        <v>46141</v>
      </c>
      <c r="H226" s="65" t="s">
        <v>1687</v>
      </c>
      <c r="I226" s="63"/>
      <c r="J226" s="65" t="s">
        <v>964</v>
      </c>
    </row>
    <row r="227" spans="2:10">
      <c r="B227" s="10">
        <v>223</v>
      </c>
      <c r="C227" s="65">
        <v>12</v>
      </c>
      <c r="D227" s="1238" t="s">
        <v>421</v>
      </c>
      <c r="E227" s="65" t="str">
        <f>VLOOKUP(D227,Erection!$C$5:$D$753,2,0)</f>
        <v>DA+1.5</v>
      </c>
      <c r="F227" s="114">
        <v>46142</v>
      </c>
      <c r="G227" s="114">
        <v>46142</v>
      </c>
      <c r="H227" s="65" t="s">
        <v>1687</v>
      </c>
      <c r="I227" s="63"/>
      <c r="J227" s="65" t="s">
        <v>964</v>
      </c>
    </row>
    <row r="228" spans="2:10">
      <c r="B228" s="10">
        <v>224</v>
      </c>
      <c r="C228" s="65">
        <v>13</v>
      </c>
      <c r="D228" s="1238" t="s">
        <v>422</v>
      </c>
      <c r="E228" s="65" t="str">
        <f>VLOOKUP(D228,Erection!$C$5:$D$753,2,0)</f>
        <v>DA+0</v>
      </c>
      <c r="F228" s="114">
        <v>46142</v>
      </c>
      <c r="G228" s="114">
        <v>46142</v>
      </c>
      <c r="H228" s="65" t="s">
        <v>1687</v>
      </c>
      <c r="I228" s="63"/>
      <c r="J228" s="65" t="s">
        <v>964</v>
      </c>
    </row>
    <row r="229" spans="2:10">
      <c r="B229" s="10">
        <v>225</v>
      </c>
      <c r="C229" s="10">
        <v>1</v>
      </c>
      <c r="D229" s="669" t="s">
        <v>423</v>
      </c>
      <c r="E229" s="65" t="str">
        <f>VLOOKUP(D229,Erection!$C$5:$D$753,2,0)</f>
        <v>DA-1.5</v>
      </c>
      <c r="F229" s="114">
        <v>46142</v>
      </c>
      <c r="G229" s="114">
        <v>46144</v>
      </c>
      <c r="H229" s="65" t="s">
        <v>1687</v>
      </c>
      <c r="I229" s="63"/>
      <c r="J229" s="10" t="s">
        <v>964</v>
      </c>
    </row>
    <row r="230" spans="2:10">
      <c r="B230" s="10">
        <v>226</v>
      </c>
      <c r="C230" s="10">
        <v>2</v>
      </c>
      <c r="D230" s="669" t="s">
        <v>425</v>
      </c>
      <c r="E230" s="65" t="str">
        <f>VLOOKUP(D230,Erection!$C$5:$D$753,2,0)</f>
        <v>DA+6</v>
      </c>
      <c r="F230" s="114">
        <v>46144</v>
      </c>
      <c r="G230" s="114">
        <v>46145</v>
      </c>
      <c r="H230" s="65" t="s">
        <v>1687</v>
      </c>
      <c r="I230" s="63"/>
      <c r="J230" s="10" t="s">
        <v>964</v>
      </c>
    </row>
    <row r="231" spans="2:10">
      <c r="B231" s="10">
        <v>227</v>
      </c>
      <c r="C231" s="10">
        <v>3</v>
      </c>
      <c r="D231" s="669" t="s">
        <v>13</v>
      </c>
      <c r="E231" s="65" t="str">
        <f>VLOOKUP(D231,Erection!$C$5:$D$753,2,0)</f>
        <v>DC1+3</v>
      </c>
      <c r="F231" s="114">
        <v>46146</v>
      </c>
      <c r="G231" s="114">
        <v>46146</v>
      </c>
      <c r="H231" s="65" t="s">
        <v>1687</v>
      </c>
      <c r="I231" s="63"/>
      <c r="J231" s="10" t="s">
        <v>964</v>
      </c>
    </row>
    <row r="232" spans="2:10">
      <c r="B232" s="10">
        <v>228</v>
      </c>
      <c r="C232" s="10">
        <v>4</v>
      </c>
      <c r="D232" s="669" t="s">
        <v>51</v>
      </c>
      <c r="E232" s="65" t="str">
        <f>VLOOKUP(D232,Erection!$C$5:$D$753,2,0)</f>
        <v>DB2+6</v>
      </c>
      <c r="F232" s="114">
        <v>46147</v>
      </c>
      <c r="G232" s="114">
        <v>46147</v>
      </c>
      <c r="H232" s="65" t="s">
        <v>1687</v>
      </c>
      <c r="I232" s="63"/>
      <c r="J232" s="10" t="s">
        <v>964</v>
      </c>
    </row>
    <row r="233" spans="2:10">
      <c r="B233" s="10">
        <v>229</v>
      </c>
      <c r="C233" s="10">
        <v>5</v>
      </c>
      <c r="D233" s="1032" t="s">
        <v>192</v>
      </c>
      <c r="E233" s="65" t="str">
        <f>VLOOKUP(D233,Erection!$C$5:$D$753,2,0)</f>
        <v>DA+3</v>
      </c>
      <c r="F233" s="114">
        <v>46148</v>
      </c>
      <c r="G233" s="114">
        <v>46148</v>
      </c>
      <c r="H233" s="65" t="s">
        <v>1687</v>
      </c>
      <c r="I233" s="63"/>
      <c r="J233" s="10" t="s">
        <v>964</v>
      </c>
    </row>
    <row r="234" spans="2:10">
      <c r="B234" s="10">
        <v>230</v>
      </c>
      <c r="C234" s="10">
        <v>6</v>
      </c>
      <c r="D234" s="669" t="s">
        <v>193</v>
      </c>
      <c r="E234" s="65" t="str">
        <f>VLOOKUP(D234,Erection!$C$5:$D$753,2,0)</f>
        <v>DA+1.5</v>
      </c>
      <c r="F234" s="114">
        <v>46148</v>
      </c>
      <c r="G234" s="114">
        <v>46148</v>
      </c>
      <c r="H234" s="65" t="s">
        <v>1687</v>
      </c>
      <c r="I234" s="63"/>
      <c r="J234" s="10" t="s">
        <v>964</v>
      </c>
    </row>
    <row r="235" spans="2:10">
      <c r="B235" s="10">
        <v>231</v>
      </c>
      <c r="C235" s="10">
        <v>7</v>
      </c>
      <c r="D235" s="669" t="s">
        <v>254</v>
      </c>
      <c r="E235" s="65" t="str">
        <f>VLOOKUP(D235,Erection!$C$5:$D$753,2,0)</f>
        <v>DA+6</v>
      </c>
      <c r="F235" s="114">
        <v>46149</v>
      </c>
      <c r="G235" s="114">
        <v>46149</v>
      </c>
      <c r="H235" s="65" t="s">
        <v>1687</v>
      </c>
      <c r="I235" s="63"/>
      <c r="J235" s="10" t="s">
        <v>964</v>
      </c>
    </row>
    <row r="236" spans="2:10">
      <c r="B236" s="10">
        <v>232</v>
      </c>
      <c r="C236" s="10">
        <v>8</v>
      </c>
      <c r="D236" s="669" t="s">
        <v>253</v>
      </c>
      <c r="E236" s="65" t="str">
        <f>VLOOKUP(D236,Erection!$C$5:$D$753,2,0)</f>
        <v>DA-3</v>
      </c>
      <c r="F236" s="114">
        <v>46149</v>
      </c>
      <c r="G236" s="114">
        <v>46149</v>
      </c>
      <c r="H236" s="65" t="s">
        <v>1687</v>
      </c>
      <c r="I236" s="63"/>
      <c r="J236" s="10" t="s">
        <v>964</v>
      </c>
    </row>
    <row r="237" spans="2:10">
      <c r="B237" s="10">
        <v>233</v>
      </c>
      <c r="C237" s="10">
        <v>9</v>
      </c>
      <c r="D237" s="669" t="s">
        <v>252</v>
      </c>
      <c r="E237" s="65" t="str">
        <f>VLOOKUP(D237,Erection!$C$5:$D$753,2,0)</f>
        <v>DA+0</v>
      </c>
      <c r="F237" s="114">
        <v>46150</v>
      </c>
      <c r="G237" s="114">
        <v>46150</v>
      </c>
      <c r="H237" s="65" t="s">
        <v>1687</v>
      </c>
      <c r="I237" s="63"/>
      <c r="J237" s="10" t="s">
        <v>964</v>
      </c>
    </row>
    <row r="238" spans="2:10">
      <c r="B238" s="10">
        <v>234</v>
      </c>
      <c r="C238" s="10">
        <v>10</v>
      </c>
      <c r="D238" s="669" t="s">
        <v>426</v>
      </c>
      <c r="E238" s="65" t="str">
        <f>VLOOKUP(D238,Erection!$C$5:$D$753,2,0)</f>
        <v>DA+1.5</v>
      </c>
      <c r="F238" s="114">
        <v>46151</v>
      </c>
      <c r="G238" s="114">
        <v>46151</v>
      </c>
      <c r="H238" s="65" t="s">
        <v>1687</v>
      </c>
      <c r="I238" s="63"/>
      <c r="J238" s="10" t="s">
        <v>964</v>
      </c>
    </row>
    <row r="239" spans="2:10">
      <c r="B239" s="10">
        <v>235</v>
      </c>
      <c r="C239" s="10">
        <v>11</v>
      </c>
      <c r="D239" s="669" t="s">
        <v>52</v>
      </c>
      <c r="E239" s="65" t="str">
        <f>VLOOKUP(D239,Erection!$C$5:$D$753,2,0)</f>
        <v>DD60+3</v>
      </c>
      <c r="F239" s="114">
        <v>46151</v>
      </c>
      <c r="G239" s="114">
        <v>46151</v>
      </c>
      <c r="H239" s="65" t="s">
        <v>1687</v>
      </c>
      <c r="I239" s="63"/>
      <c r="J239" s="10" t="s">
        <v>964</v>
      </c>
    </row>
    <row r="240" spans="2:10">
      <c r="B240" s="10">
        <v>236</v>
      </c>
      <c r="C240" s="10">
        <v>12</v>
      </c>
      <c r="D240" s="669" t="s">
        <v>162</v>
      </c>
      <c r="E240" s="65" t="str">
        <f>VLOOKUP(D240,Erection!$C$5:$D$753,2,0)</f>
        <v>DA-3</v>
      </c>
      <c r="F240" s="114">
        <v>46152</v>
      </c>
      <c r="G240" s="114">
        <v>46152</v>
      </c>
      <c r="H240" s="65" t="s">
        <v>1687</v>
      </c>
      <c r="I240" s="63"/>
      <c r="J240" s="10" t="s">
        <v>964</v>
      </c>
    </row>
    <row r="241" spans="2:10">
      <c r="B241" s="10">
        <v>237</v>
      </c>
      <c r="C241" s="10">
        <v>13</v>
      </c>
      <c r="D241" s="1032" t="s">
        <v>156</v>
      </c>
      <c r="E241" s="65" t="str">
        <f>VLOOKUP(D241,Erection!$C$5:$D$753,2,0)</f>
        <v>DA-1.5</v>
      </c>
      <c r="F241" s="114">
        <v>46152</v>
      </c>
      <c r="G241" s="114">
        <v>46152</v>
      </c>
      <c r="H241" s="65" t="s">
        <v>1687</v>
      </c>
      <c r="I241" s="63"/>
      <c r="J241" s="10" t="s">
        <v>964</v>
      </c>
    </row>
    <row r="242" spans="2:10">
      <c r="B242" s="10">
        <v>238</v>
      </c>
      <c r="C242" s="10">
        <v>14</v>
      </c>
      <c r="D242" s="1032" t="s">
        <v>153</v>
      </c>
      <c r="E242" s="65" t="str">
        <f>VLOOKUP(D242,Erection!$C$5:$D$753,2,0)</f>
        <v>DA+1.5</v>
      </c>
      <c r="F242" s="114">
        <v>46153</v>
      </c>
      <c r="G242" s="114">
        <v>46153</v>
      </c>
      <c r="H242" s="65" t="s">
        <v>1687</v>
      </c>
      <c r="I242" s="63"/>
      <c r="J242" s="10" t="s">
        <v>964</v>
      </c>
    </row>
    <row r="243" spans="2:10">
      <c r="B243" s="10">
        <v>239</v>
      </c>
      <c r="C243" s="10">
        <v>15</v>
      </c>
      <c r="D243" s="1032" t="s">
        <v>61</v>
      </c>
      <c r="E243" s="65" t="str">
        <f>VLOOKUP(D243,Erection!$C$5:$D$753,2,0)</f>
        <v>DA+9</v>
      </c>
      <c r="F243" s="114">
        <v>46154</v>
      </c>
      <c r="G243" s="114">
        <v>46154</v>
      </c>
      <c r="H243" s="65" t="s">
        <v>1687</v>
      </c>
      <c r="I243" s="63"/>
      <c r="J243" s="10" t="s">
        <v>964</v>
      </c>
    </row>
    <row r="244" spans="2:10">
      <c r="B244" s="10">
        <v>240</v>
      </c>
      <c r="C244" s="10">
        <v>16</v>
      </c>
      <c r="D244" s="1032" t="s">
        <v>62</v>
      </c>
      <c r="E244" s="65" t="str">
        <f>VLOOKUP(D244,Erection!$C$5:$D$753,2,0)</f>
        <v>DA-1.5</v>
      </c>
      <c r="F244" s="114">
        <v>46154</v>
      </c>
      <c r="G244" s="114">
        <v>46154</v>
      </c>
      <c r="H244" s="65" t="s">
        <v>1687</v>
      </c>
      <c r="I244" s="63"/>
      <c r="J244" s="10" t="s">
        <v>964</v>
      </c>
    </row>
    <row r="245" spans="2:10">
      <c r="B245" s="10">
        <v>241</v>
      </c>
      <c r="C245" s="10">
        <v>17</v>
      </c>
      <c r="D245" s="1032" t="s">
        <v>155</v>
      </c>
      <c r="E245" s="65" t="str">
        <f>VLOOKUP(D245,Erection!$C$5:$D$753,2,0)</f>
        <v>DA+1.5</v>
      </c>
      <c r="F245" s="114">
        <v>46155</v>
      </c>
      <c r="G245" s="114">
        <v>46156</v>
      </c>
      <c r="H245" s="65" t="s">
        <v>1687</v>
      </c>
      <c r="I245" s="63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65" t="str">
        <f>VLOOKUP(D246,Erection!$C$5:$D$753,2,0)</f>
        <v>DD60+18</v>
      </c>
      <c r="F246" s="114">
        <v>46157</v>
      </c>
      <c r="G246" s="114">
        <v>46157</v>
      </c>
      <c r="H246" s="65" t="s">
        <v>1687</v>
      </c>
      <c r="I246" s="63"/>
      <c r="J246" s="10" t="s">
        <v>964</v>
      </c>
    </row>
    <row r="247" spans="2:10">
      <c r="B247" s="10">
        <v>243</v>
      </c>
      <c r="C247" s="10">
        <v>19</v>
      </c>
      <c r="D247" s="669" t="s">
        <v>53</v>
      </c>
      <c r="E247" s="65" t="str">
        <f>VLOOKUP(D247,Erection!$C$5:$D$753,2,0)</f>
        <v>DD60+3</v>
      </c>
      <c r="F247" s="114">
        <v>46158</v>
      </c>
      <c r="G247" s="114">
        <v>46158</v>
      </c>
      <c r="H247" s="10" t="s">
        <v>1687</v>
      </c>
      <c r="I247" s="63"/>
      <c r="J247" s="10" t="s">
        <v>964</v>
      </c>
    </row>
    <row r="248" spans="2:10">
      <c r="B248" s="10">
        <v>244</v>
      </c>
      <c r="C248" s="10">
        <v>20</v>
      </c>
      <c r="D248" s="669" t="s">
        <v>251</v>
      </c>
      <c r="E248" s="65" t="str">
        <f>VLOOKUP(D248,Erection!$C$5:$D$753,2,0)</f>
        <v>DA+9</v>
      </c>
      <c r="F248" s="114">
        <v>46159</v>
      </c>
      <c r="G248" s="114">
        <v>46159</v>
      </c>
      <c r="H248" s="10" t="s">
        <v>1687</v>
      </c>
      <c r="I248" s="63"/>
      <c r="J248" s="10" t="s">
        <v>964</v>
      </c>
    </row>
    <row r="249" spans="2:10">
      <c r="B249" s="10">
        <v>245</v>
      </c>
      <c r="C249" s="10">
        <v>21</v>
      </c>
      <c r="D249" s="669" t="s">
        <v>167</v>
      </c>
      <c r="E249" s="65" t="str">
        <f>VLOOKUP(D249,Erection!$C$5:$D$753,2,0)</f>
        <v>DD60+25</v>
      </c>
      <c r="F249" s="114">
        <v>46160</v>
      </c>
      <c r="G249" s="114">
        <v>46160</v>
      </c>
      <c r="H249" s="10" t="s">
        <v>1687</v>
      </c>
      <c r="I249" s="63"/>
      <c r="J249" s="10" t="s">
        <v>964</v>
      </c>
    </row>
    <row r="250" spans="2:10">
      <c r="B250" s="10">
        <v>246</v>
      </c>
      <c r="C250" s="10">
        <v>22</v>
      </c>
      <c r="D250" s="669" t="s">
        <v>308</v>
      </c>
      <c r="E250" s="65" t="str">
        <f>VLOOKUP(D250,Erection!$C$5:$D$753,2,0)</f>
        <v>DA+6</v>
      </c>
      <c r="F250" s="114">
        <v>46161</v>
      </c>
      <c r="G250" s="114">
        <v>46161</v>
      </c>
      <c r="H250" s="10" t="s">
        <v>1687</v>
      </c>
      <c r="I250" s="63"/>
      <c r="J250" s="10" t="s">
        <v>964</v>
      </c>
    </row>
    <row r="251" spans="2:10">
      <c r="B251" s="10">
        <v>247</v>
      </c>
      <c r="C251" s="10">
        <v>23</v>
      </c>
      <c r="D251" s="669" t="s">
        <v>174</v>
      </c>
      <c r="E251" s="65" t="str">
        <f>VLOOKUP(D251,Erection!$C$5:$D$753,2,0)</f>
        <v>DA-3</v>
      </c>
      <c r="F251" s="114">
        <v>46161</v>
      </c>
      <c r="G251" s="114">
        <v>46161</v>
      </c>
      <c r="H251" s="10" t="s">
        <v>1687</v>
      </c>
      <c r="I251" s="63"/>
      <c r="J251" s="10" t="s">
        <v>964</v>
      </c>
    </row>
    <row r="252" spans="2:10">
      <c r="B252" s="10">
        <v>248</v>
      </c>
      <c r="C252" s="10">
        <v>23</v>
      </c>
      <c r="D252" s="669" t="s">
        <v>175</v>
      </c>
      <c r="E252" s="65" t="str">
        <f>VLOOKUP(D252,Erection!$C$5:$D$753,2,0)</f>
        <v>DA-3</v>
      </c>
      <c r="F252" s="114">
        <v>46162</v>
      </c>
      <c r="G252" s="114">
        <v>46162</v>
      </c>
      <c r="H252" s="10" t="s">
        <v>1687</v>
      </c>
      <c r="I252" s="63"/>
      <c r="J252" s="10" t="s">
        <v>964</v>
      </c>
    </row>
    <row r="253" spans="2:10">
      <c r="B253" s="10">
        <v>249</v>
      </c>
      <c r="C253" s="10">
        <v>24</v>
      </c>
      <c r="D253" s="669" t="s">
        <v>176</v>
      </c>
      <c r="E253" s="65" t="str">
        <f>VLOOKUP(D253,Erection!$C$5:$D$753,2,0)</f>
        <v>DA+1.5</v>
      </c>
      <c r="F253" s="114">
        <v>46162</v>
      </c>
      <c r="G253" s="114">
        <v>46162</v>
      </c>
      <c r="H253" s="10" t="s">
        <v>1687</v>
      </c>
      <c r="I253" s="63"/>
      <c r="J253" s="10" t="s">
        <v>964</v>
      </c>
    </row>
    <row r="254" spans="2:10">
      <c r="B254" s="10">
        <v>250</v>
      </c>
      <c r="C254" s="10">
        <v>25</v>
      </c>
      <c r="D254" s="669" t="s">
        <v>615</v>
      </c>
      <c r="E254" s="65" t="str">
        <f>VLOOKUP(D254,Erection!$C$5:$D$753,2,0)</f>
        <v>DA+9</v>
      </c>
      <c r="F254" s="114">
        <v>46163</v>
      </c>
      <c r="G254" s="114">
        <v>46163</v>
      </c>
      <c r="H254" s="10" t="s">
        <v>1687</v>
      </c>
      <c r="I254" s="63"/>
      <c r="J254" s="10" t="s">
        <v>964</v>
      </c>
    </row>
    <row r="255" spans="2:10">
      <c r="B255" s="10">
        <v>251</v>
      </c>
      <c r="C255" s="10">
        <v>26</v>
      </c>
      <c r="D255" s="669" t="s">
        <v>424</v>
      </c>
      <c r="E255" s="65" t="str">
        <f>VLOOKUP(D255,Erection!$C$5:$D$753,2,0)</f>
        <v>DA+0</v>
      </c>
      <c r="F255" s="114">
        <v>46164</v>
      </c>
      <c r="G255" s="114">
        <v>46164</v>
      </c>
      <c r="H255" s="10" t="s">
        <v>1687</v>
      </c>
      <c r="I255" s="63"/>
      <c r="J255" s="10" t="s">
        <v>964</v>
      </c>
    </row>
    <row r="256" spans="2:10">
      <c r="B256" s="10">
        <v>252</v>
      </c>
      <c r="C256" s="10">
        <v>27</v>
      </c>
      <c r="D256" s="669" t="s">
        <v>179</v>
      </c>
      <c r="E256" s="65" t="str">
        <f>VLOOKUP(D256,Erection!$C$5:$D$753,2,0)</f>
        <v>DA+0</v>
      </c>
      <c r="F256" s="114">
        <v>46165</v>
      </c>
      <c r="G256" s="114">
        <v>46165</v>
      </c>
      <c r="H256" s="10" t="s">
        <v>1687</v>
      </c>
      <c r="I256" s="63"/>
      <c r="J256" s="10" t="s">
        <v>964</v>
      </c>
    </row>
    <row r="257" spans="2:10">
      <c r="B257" s="10">
        <v>253</v>
      </c>
      <c r="C257" s="10">
        <v>28</v>
      </c>
      <c r="D257" s="669" t="s">
        <v>180</v>
      </c>
      <c r="E257" s="65" t="str">
        <f>VLOOKUP(D257,Erection!$C$5:$D$753,2,0)</f>
        <v>DA+6</v>
      </c>
      <c r="F257" s="114">
        <v>46165</v>
      </c>
      <c r="G257" s="114">
        <v>46165</v>
      </c>
      <c r="H257" s="10" t="s">
        <v>1687</v>
      </c>
      <c r="I257" s="63"/>
      <c r="J257" s="10" t="s">
        <v>964</v>
      </c>
    </row>
    <row r="258" spans="2:10">
      <c r="B258" s="10">
        <v>254</v>
      </c>
      <c r="C258" s="10">
        <v>29</v>
      </c>
      <c r="D258" s="669" t="s">
        <v>181</v>
      </c>
      <c r="E258" s="65" t="str">
        <f>VLOOKUP(D258,Erection!$C$5:$D$753,2,0)</f>
        <v>DA+6</v>
      </c>
      <c r="F258" s="114">
        <v>46166</v>
      </c>
      <c r="G258" s="114">
        <v>46166</v>
      </c>
      <c r="H258" s="10" t="s">
        <v>1687</v>
      </c>
      <c r="I258" s="63"/>
      <c r="J258" s="10" t="s">
        <v>964</v>
      </c>
    </row>
    <row r="259" spans="2:10">
      <c r="B259" s="10">
        <v>255</v>
      </c>
      <c r="C259" s="10">
        <v>30</v>
      </c>
      <c r="D259" s="669" t="s">
        <v>182</v>
      </c>
      <c r="E259" s="65" t="str">
        <f>VLOOKUP(D259,Erection!$C$5:$D$753,2,0)</f>
        <v>DA+0</v>
      </c>
      <c r="F259" s="114">
        <v>46167</v>
      </c>
      <c r="G259" s="114">
        <v>46167</v>
      </c>
      <c r="H259" s="10" t="s">
        <v>1687</v>
      </c>
      <c r="I259" s="63"/>
      <c r="J259" s="10" t="s">
        <v>964</v>
      </c>
    </row>
    <row r="260" spans="2:10">
      <c r="B260" s="10">
        <v>256</v>
      </c>
      <c r="C260" s="10">
        <v>31</v>
      </c>
      <c r="D260" s="669" t="s">
        <v>429</v>
      </c>
      <c r="E260" s="65" t="str">
        <f>VLOOKUP(D260,Erection!$C$5:$D$753,2,0)</f>
        <v>DA+0</v>
      </c>
      <c r="F260" s="114">
        <v>46167</v>
      </c>
      <c r="G260" s="114">
        <v>46167</v>
      </c>
      <c r="H260" s="10" t="s">
        <v>1687</v>
      </c>
      <c r="I260" s="63"/>
      <c r="J260" s="10" t="s">
        <v>964</v>
      </c>
    </row>
    <row r="261" spans="2:10">
      <c r="B261" s="10">
        <v>257</v>
      </c>
      <c r="C261" s="10">
        <v>1</v>
      </c>
      <c r="D261" s="669" t="s">
        <v>63</v>
      </c>
      <c r="E261" s="65" t="str">
        <f>VLOOKUP(D261,Erection!$C$5:$D$753,2,0)</f>
        <v>DC2-3</v>
      </c>
      <c r="F261" s="114">
        <v>46175</v>
      </c>
      <c r="G261" s="114">
        <f>F261+1</f>
        <v>46176</v>
      </c>
      <c r="H261" s="10" t="s">
        <v>1687</v>
      </c>
      <c r="I261" s="63"/>
      <c r="J261" s="10" t="s">
        <v>964</v>
      </c>
    </row>
    <row r="262" spans="2:10">
      <c r="B262" s="10">
        <v>258</v>
      </c>
      <c r="C262" s="10">
        <v>2</v>
      </c>
      <c r="D262" s="669" t="s">
        <v>591</v>
      </c>
      <c r="E262" s="65" t="str">
        <f>VLOOKUP(D262,Erection!$C$5:$D$753,2,0)</f>
        <v>DA+6</v>
      </c>
      <c r="F262" s="114">
        <f>G261+1</f>
        <v>46177</v>
      </c>
      <c r="G262" s="114">
        <f>F262+1</f>
        <v>46178</v>
      </c>
      <c r="H262" s="10" t="s">
        <v>1687</v>
      </c>
      <c r="I262" s="63"/>
      <c r="J262" s="10" t="s">
        <v>964</v>
      </c>
    </row>
    <row r="263" spans="2:10">
      <c r="B263" s="10">
        <v>259</v>
      </c>
      <c r="C263" s="10">
        <v>3</v>
      </c>
      <c r="D263" s="669" t="s">
        <v>592</v>
      </c>
      <c r="E263" s="65" t="str">
        <f>VLOOKUP(D263,Erection!$C$5:$D$753,2,0)</f>
        <v>DA-3</v>
      </c>
      <c r="F263" s="114">
        <v>46179</v>
      </c>
      <c r="G263" s="114">
        <f>F263</f>
        <v>46179</v>
      </c>
      <c r="H263" s="10" t="s">
        <v>1687</v>
      </c>
      <c r="I263" s="63"/>
      <c r="J263" s="10" t="s">
        <v>964</v>
      </c>
    </row>
    <row r="264" spans="2:10">
      <c r="B264" s="10">
        <v>260</v>
      </c>
      <c r="C264" s="10">
        <v>4</v>
      </c>
      <c r="D264" s="669" t="s">
        <v>599</v>
      </c>
      <c r="E264" s="65" t="str">
        <f>VLOOKUP(D264,Erection!$C$5:$D$753,2,0)</f>
        <v>DA+3</v>
      </c>
      <c r="F264" s="114">
        <v>46180</v>
      </c>
      <c r="G264" s="114">
        <v>46180</v>
      </c>
      <c r="H264" s="10" t="s">
        <v>1687</v>
      </c>
      <c r="I264" s="63"/>
      <c r="J264" s="10" t="s">
        <v>964</v>
      </c>
    </row>
    <row r="265" spans="2:10">
      <c r="B265" s="10">
        <v>261</v>
      </c>
      <c r="C265" s="10">
        <v>5</v>
      </c>
      <c r="D265" s="669" t="s">
        <v>600</v>
      </c>
      <c r="E265" s="65" t="str">
        <f>VLOOKUP(D265,Erection!$C$5:$D$753,2,0)</f>
        <v>DA+3</v>
      </c>
      <c r="F265" s="114">
        <v>46181</v>
      </c>
      <c r="G265" s="114">
        <v>46181</v>
      </c>
      <c r="H265" s="10" t="s">
        <v>1687</v>
      </c>
      <c r="I265" s="63"/>
      <c r="J265" s="10" t="s">
        <v>964</v>
      </c>
    </row>
    <row r="266" spans="2:10">
      <c r="B266" s="10">
        <v>262</v>
      </c>
      <c r="C266" s="10">
        <v>6</v>
      </c>
      <c r="D266" s="669" t="s">
        <v>8</v>
      </c>
      <c r="E266" s="65" t="str">
        <f>VLOOKUP(D266,Erection!$C$5:$D$753,2,0)</f>
        <v>DB2+3</v>
      </c>
      <c r="F266" s="114">
        <v>46182</v>
      </c>
      <c r="G266" s="114">
        <v>46182</v>
      </c>
      <c r="H266" s="10" t="s">
        <v>1687</v>
      </c>
      <c r="I266" s="63"/>
      <c r="J266" s="10" t="s">
        <v>964</v>
      </c>
    </row>
    <row r="267" spans="2:10">
      <c r="B267" s="10">
        <v>263</v>
      </c>
      <c r="C267" s="10">
        <v>7</v>
      </c>
      <c r="D267" s="669" t="s">
        <v>605</v>
      </c>
      <c r="E267" s="65" t="str">
        <f>VLOOKUP(D267,Erection!$C$5:$D$753,2,0)</f>
        <v>DA-1.5</v>
      </c>
      <c r="F267" s="114">
        <v>46183</v>
      </c>
      <c r="G267" s="114">
        <v>46183</v>
      </c>
      <c r="H267" s="10" t="s">
        <v>1687</v>
      </c>
      <c r="I267" s="63"/>
      <c r="J267" s="10" t="s">
        <v>964</v>
      </c>
    </row>
    <row r="268" spans="2:10">
      <c r="B268" s="10">
        <v>264</v>
      </c>
      <c r="C268" s="10">
        <v>8</v>
      </c>
      <c r="D268" s="669" t="s">
        <v>606</v>
      </c>
      <c r="E268" s="65" t="str">
        <f>VLOOKUP(D268,Erection!$C$5:$D$753,2,0)</f>
        <v>DA+9</v>
      </c>
      <c r="F268" s="114">
        <v>46185</v>
      </c>
      <c r="G268" s="114">
        <v>46185</v>
      </c>
      <c r="H268" s="65" t="s">
        <v>1687</v>
      </c>
      <c r="I268" s="63"/>
      <c r="J268" s="10" t="s">
        <v>964</v>
      </c>
    </row>
    <row r="269" spans="2:10">
      <c r="B269" s="10">
        <v>265</v>
      </c>
      <c r="C269" s="10">
        <v>9</v>
      </c>
      <c r="D269" s="669" t="s">
        <v>1242</v>
      </c>
      <c r="E269" s="65" t="str">
        <f>VLOOKUP(D269,Erection!$C$5:$D$753,2,0)</f>
        <v>DA+3</v>
      </c>
      <c r="F269" s="114">
        <v>46186</v>
      </c>
      <c r="G269" s="114">
        <v>46186</v>
      </c>
      <c r="H269" s="65" t="s">
        <v>1687</v>
      </c>
      <c r="I269" s="63"/>
      <c r="J269" s="10" t="s">
        <v>964</v>
      </c>
    </row>
    <row r="270" spans="2:10">
      <c r="B270" s="10">
        <v>266</v>
      </c>
      <c r="C270" s="10">
        <v>10</v>
      </c>
      <c r="D270" s="669" t="s">
        <v>59</v>
      </c>
      <c r="E270" s="65" t="str">
        <f>VLOOKUP(D270,Erection!$C$5:$D$753,2,0)</f>
        <v>DD60+35</v>
      </c>
      <c r="F270" s="114">
        <v>46187</v>
      </c>
      <c r="G270" s="114">
        <v>46187</v>
      </c>
      <c r="H270" s="65" t="s">
        <v>1687</v>
      </c>
      <c r="I270" s="63"/>
      <c r="J270" s="10" t="s">
        <v>964</v>
      </c>
    </row>
    <row r="271" spans="2:10">
      <c r="B271" s="10">
        <v>267</v>
      </c>
      <c r="C271" s="10">
        <v>11</v>
      </c>
      <c r="D271" s="669" t="s">
        <v>55</v>
      </c>
      <c r="E271" s="65" t="str">
        <f>VLOOKUP(D271,Erection!$C$5:$D$753,2,0)</f>
        <v>DC2+15</v>
      </c>
      <c r="F271" s="114">
        <v>46188</v>
      </c>
      <c r="G271" s="114">
        <v>46188</v>
      </c>
      <c r="H271" s="65" t="s">
        <v>1194</v>
      </c>
      <c r="I271" s="63"/>
      <c r="J271" s="10" t="s">
        <v>964</v>
      </c>
    </row>
    <row r="272" spans="2:10">
      <c r="B272" s="10">
        <v>268</v>
      </c>
      <c r="C272" s="10">
        <v>12</v>
      </c>
      <c r="D272" s="669" t="s">
        <v>54</v>
      </c>
      <c r="E272" s="65" t="str">
        <f>VLOOKUP(D272,Erection!$C$5:$D$753,2,0)</f>
        <v>DB1+0</v>
      </c>
      <c r="F272" s="114">
        <v>46190</v>
      </c>
      <c r="G272" s="114">
        <v>46190</v>
      </c>
      <c r="H272" s="65" t="s">
        <v>1194</v>
      </c>
      <c r="I272" s="63"/>
      <c r="J272" s="10" t="s">
        <v>964</v>
      </c>
    </row>
    <row r="273" spans="2:10">
      <c r="B273" s="177"/>
      <c r="C273" s="177"/>
      <c r="D273" s="1273"/>
      <c r="E273" s="628"/>
      <c r="F273" s="177"/>
      <c r="G273" s="177"/>
      <c r="H273" s="628"/>
      <c r="I273" s="1358"/>
      <c r="J273" s="177"/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89" priority="1"/>
    <cfRule type="duplicateValues" dxfId="188" priority="2"/>
  </conditionalFormatting>
  <conditionalFormatting sqref="D3:D4 D97:D199 D201:D233 D237:D259 D321:D64884">
    <cfRule type="expression" dxfId="187" priority="2131" stopIfTrue="1">
      <formula>AND(COUNTIF($D$74:$D$75, D3)+COUNTIF($D$1:$D$4, D3)+COUNTIF($D$76:$D$64884, D3)&gt;1,NOT(ISBLANK(D3)))</formula>
    </cfRule>
    <cfRule type="expression" dxfId="186" priority="2132" stopIfTrue="1">
      <formula>AND(COUNTIF($D$10:$D$10, D3)+COUNTIF($D$1:$D$4, D3)+COUNTIF($D$11:$D$75, D3)+COUNTIF($D$76:$D$64884, D3)&gt;1,NOT(ISBLANK(D3)))</formula>
    </cfRule>
  </conditionalFormatting>
  <conditionalFormatting sqref="D9:D16 D5:D7 D18:D39 D41:D96">
    <cfRule type="duplicateValues" dxfId="185" priority="1414"/>
  </conditionalFormatting>
  <conditionalFormatting sqref="D40">
    <cfRule type="duplicateValues" dxfId="184" priority="32"/>
  </conditionalFormatting>
  <conditionalFormatting sqref="D97:D199 D201:D233 D237:D259 D321:D64884">
    <cfRule type="expression" dxfId="183" priority="2141" stopIfTrue="1">
      <formula>AND(COUNTIF($D$74:$D$75, D97)+COUNTIF($D$76:$D$64884, D97)&gt;1,NOT(ISBLANK(D97)))</formula>
    </cfRule>
  </conditionalFormatting>
  <conditionalFormatting sqref="D200">
    <cfRule type="duplicateValues" dxfId="182" priority="4543"/>
    <cfRule type="duplicateValues" dxfId="181" priority="4544"/>
    <cfRule type="duplicateValues" dxfId="180" priority="4545"/>
    <cfRule type="duplicateValues" dxfId="179" priority="4546"/>
    <cfRule type="duplicateValues" dxfId="178" priority="4547"/>
    <cfRule type="duplicateValues" dxfId="177" priority="4548"/>
    <cfRule type="duplicateValues" dxfId="176" priority="4549"/>
    <cfRule type="expression" dxfId="175" priority="4550" stopIfTrue="1">
      <formula>AND(COUNTIF($D$74:$D$75, D200)+COUNTIF($D$1:$D$4, D200)+COUNTIF($D$76:$D$64887, D200)&gt;1,NOT(ISBLANK(D200)))</formula>
    </cfRule>
    <cfRule type="expression" dxfId="174" priority="4551" stopIfTrue="1">
      <formula>AND(COUNTIF($D$10:$D$10, D200)+COUNTIF($D$1:$D$4, D200)+COUNTIF($D$11:$D$75, D200)+COUNTIF($D$76:$D$64887, D200)&gt;1,NOT(ISBLANK(D200)))</formula>
    </cfRule>
    <cfRule type="expression" dxfId="173" priority="4552" stopIfTrue="1">
      <formula>AND(COUNTIF($D$74:$D$75, D200)+COUNTIF($D$76:$D$64887, D200)&gt;1,NOT(ISBLANK(D200)))</formula>
    </cfRule>
  </conditionalFormatting>
  <conditionalFormatting sqref="D321:D1048576 D1:D199 D201:D233 D237:D259">
    <cfRule type="duplicateValues" dxfId="172" priority="25"/>
  </conditionalFormatting>
  <conditionalFormatting sqref="D321:D1048576 D1:D199 D201:D259">
    <cfRule type="duplicateValues" dxfId="171" priority="23"/>
    <cfRule type="duplicateValues" dxfId="170" priority="24"/>
  </conditionalFormatting>
  <conditionalFormatting sqref="D321:D1048576 D1:D259">
    <cfRule type="duplicateValues" dxfId="169" priority="3"/>
  </conditionalFormatting>
  <conditionalFormatting sqref="D321:D1048576 D3:D199 D201:D233 D237:D259">
    <cfRule type="duplicateValues" dxfId="168" priority="26"/>
    <cfRule type="duplicateValues" dxfId="167" priority="27"/>
    <cfRule type="duplicateValues" dxfId="166" priority="1622"/>
    <cfRule type="duplicateValues" dxfId="165" priority="1623"/>
    <cfRule type="duplicateValues" dxfId="164" priority="1624"/>
    <cfRule type="duplicateValues" dxfId="163" priority="1625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31" activePane="bottomRight" state="frozen"/>
      <selection activeCell="C8" sqref="C8"/>
      <selection pane="topRight" activeCell="C8" sqref="C8"/>
      <selection pane="bottomLeft" activeCell="C8" sqref="C8"/>
      <selection pane="bottomRight" activeCell="Q121" sqref="Q121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52" customFormat="1" ht="15.5">
      <c r="A1" s="1619" t="s">
        <v>1770</v>
      </c>
      <c r="B1" s="1619"/>
      <c r="C1" s="1619"/>
      <c r="D1" s="1619"/>
      <c r="E1" s="1619"/>
      <c r="F1" s="1619"/>
      <c r="G1" s="1619"/>
      <c r="H1" s="1619"/>
      <c r="I1" s="1619"/>
      <c r="J1" s="1619"/>
      <c r="K1" s="1619"/>
      <c r="L1" s="1619"/>
    </row>
    <row r="2" spans="1:13" s="1252" customFormat="1" ht="15.5">
      <c r="A2" s="1619" t="s">
        <v>1753</v>
      </c>
      <c r="B2" s="1619"/>
      <c r="C2" s="1619"/>
      <c r="D2" s="1619"/>
      <c r="E2" s="1619"/>
      <c r="F2" s="1619"/>
      <c r="G2" s="1619"/>
      <c r="H2" s="1619"/>
      <c r="I2" s="1619"/>
      <c r="J2" s="1619"/>
      <c r="K2" s="1619"/>
      <c r="L2" s="1619"/>
      <c r="M2" s="1252">
        <f>I3-J3</f>
        <v>7</v>
      </c>
    </row>
    <row r="3" spans="1:13">
      <c r="D3" s="140" t="s">
        <v>1760</v>
      </c>
      <c r="F3" s="132">
        <f t="shared" ref="F3:H3" si="0">306-F4</f>
        <v>0</v>
      </c>
      <c r="G3" s="132">
        <f t="shared" si="0"/>
        <v>2</v>
      </c>
      <c r="H3" s="132">
        <f t="shared" si="0"/>
        <v>4</v>
      </c>
      <c r="I3" s="132">
        <f>302-I4</f>
        <v>34</v>
      </c>
      <c r="J3" s="132">
        <f>302-J4</f>
        <v>27</v>
      </c>
      <c r="K3" s="132">
        <f>302-K4</f>
        <v>98</v>
      </c>
    </row>
    <row r="4" spans="1:13">
      <c r="A4" s="1620" t="s">
        <v>91</v>
      </c>
      <c r="B4" s="1253" t="s">
        <v>654</v>
      </c>
      <c r="C4" s="1253" t="s">
        <v>653</v>
      </c>
      <c r="D4" s="1253" t="s">
        <v>486</v>
      </c>
      <c r="E4" s="1621" t="s">
        <v>1754</v>
      </c>
      <c r="F4" s="1253">
        <f>COUNTIFS(F6:F312,F165)</f>
        <v>306</v>
      </c>
      <c r="G4" s="1253">
        <f t="shared" ref="G4:H4" si="1">COUNTIFS(G6:G312,G165)</f>
        <v>304</v>
      </c>
      <c r="H4" s="1253">
        <f t="shared" si="1"/>
        <v>302</v>
      </c>
      <c r="I4" s="1253">
        <f>COUNTIFS(I6:I312,"done")</f>
        <v>268</v>
      </c>
      <c r="J4" s="1253">
        <f>COUNTIFS(J6:J312,"done")</f>
        <v>275</v>
      </c>
      <c r="K4" s="1253">
        <f>COUNTIFS(K6:K312,"done")</f>
        <v>204</v>
      </c>
      <c r="L4" s="1253" t="s">
        <v>1</v>
      </c>
    </row>
    <row r="5" spans="1:13" ht="29">
      <c r="A5" s="1620"/>
      <c r="B5" s="1253" t="s">
        <v>522</v>
      </c>
      <c r="C5" s="1253" t="s">
        <v>523</v>
      </c>
      <c r="D5" s="1253" t="s">
        <v>487</v>
      </c>
      <c r="E5" s="1622"/>
      <c r="F5" s="1254" t="s">
        <v>99</v>
      </c>
      <c r="G5" s="1254" t="s">
        <v>34</v>
      </c>
      <c r="H5" s="1254" t="s">
        <v>1755</v>
      </c>
      <c r="I5" s="1254" t="s">
        <v>1756</v>
      </c>
      <c r="J5" s="1254" t="s">
        <v>1757</v>
      </c>
      <c r="K5" s="1254" t="s">
        <v>1346</v>
      </c>
      <c r="L5" s="1253"/>
    </row>
    <row r="6" spans="1:13">
      <c r="A6" s="1255"/>
      <c r="B6" s="1255"/>
      <c r="C6" s="1255" t="s">
        <v>1162</v>
      </c>
      <c r="D6" s="1256" t="s">
        <v>244</v>
      </c>
      <c r="E6" s="1257"/>
      <c r="F6" s="1255"/>
      <c r="G6" s="1255"/>
      <c r="H6" s="1255"/>
      <c r="I6" s="1255"/>
      <c r="J6" s="1255"/>
      <c r="K6" s="1255"/>
      <c r="L6" s="1255"/>
    </row>
    <row r="7" spans="1:13">
      <c r="A7" s="1257">
        <f>SUBTOTAL(103,$C7:C$7)</f>
        <v>1</v>
      </c>
      <c r="B7" s="1257" t="s">
        <v>525</v>
      </c>
      <c r="C7" s="1257" t="s">
        <v>268</v>
      </c>
      <c r="D7" s="1258" t="s">
        <v>188</v>
      </c>
      <c r="E7" s="1257" t="s">
        <v>50</v>
      </c>
      <c r="F7" s="1259" t="s">
        <v>255</v>
      </c>
      <c r="G7" s="1259" t="s">
        <v>255</v>
      </c>
      <c r="H7" s="1257" t="s">
        <v>255</v>
      </c>
      <c r="I7" s="1257" t="s">
        <v>1758</v>
      </c>
      <c r="J7" s="1257" t="s">
        <v>1758</v>
      </c>
      <c r="K7" s="1257" t="s">
        <v>1758</v>
      </c>
      <c r="L7" s="1257"/>
    </row>
    <row r="8" spans="1:13">
      <c r="A8" s="1257">
        <f>SUBTOTAL(103,$C$7:C8)</f>
        <v>2</v>
      </c>
      <c r="B8" s="1257" t="s">
        <v>1251</v>
      </c>
      <c r="C8" s="1257" t="s">
        <v>1250</v>
      </c>
      <c r="D8" s="1258" t="s">
        <v>178</v>
      </c>
      <c r="E8" s="1257" t="s">
        <v>50</v>
      </c>
      <c r="F8" s="1259" t="s">
        <v>255</v>
      </c>
      <c r="G8" s="1259" t="s">
        <v>255</v>
      </c>
      <c r="H8" s="1257" t="s">
        <v>255</v>
      </c>
      <c r="I8" s="1257" t="s">
        <v>1758</v>
      </c>
      <c r="J8" s="1257" t="s">
        <v>1758</v>
      </c>
      <c r="K8" s="1257" t="s">
        <v>1758</v>
      </c>
      <c r="L8" s="1257"/>
    </row>
    <row r="9" spans="1:13">
      <c r="A9" s="1257">
        <f>SUBTOTAL(103,$C$7:C9)</f>
        <v>3</v>
      </c>
      <c r="B9" s="1257" t="s">
        <v>527</v>
      </c>
      <c r="C9" s="1257" t="s">
        <v>1252</v>
      </c>
      <c r="D9" s="1291" t="s">
        <v>3</v>
      </c>
      <c r="E9" s="1257" t="s">
        <v>50</v>
      </c>
      <c r="F9" s="1259" t="s">
        <v>255</v>
      </c>
      <c r="G9" s="1259" t="s">
        <v>255</v>
      </c>
      <c r="H9" s="1257" t="s">
        <v>255</v>
      </c>
      <c r="I9" s="1257" t="s">
        <v>1758</v>
      </c>
      <c r="J9" s="1257" t="s">
        <v>1758</v>
      </c>
      <c r="K9" s="1257" t="s">
        <v>1758</v>
      </c>
      <c r="L9" s="1257"/>
    </row>
    <row r="10" spans="1:13">
      <c r="A10" s="1257">
        <f>SUBTOTAL(103,$C$7:C10)</f>
        <v>4</v>
      </c>
      <c r="B10" s="1257"/>
      <c r="C10" s="1257" t="s">
        <v>1253</v>
      </c>
      <c r="D10" s="1291" t="s">
        <v>2</v>
      </c>
      <c r="E10" s="1257" t="s">
        <v>50</v>
      </c>
      <c r="F10" s="1259" t="s">
        <v>255</v>
      </c>
      <c r="G10" s="1259" t="s">
        <v>255</v>
      </c>
      <c r="H10" s="1257" t="s">
        <v>255</v>
      </c>
      <c r="I10" s="1257" t="s">
        <v>1758</v>
      </c>
      <c r="J10" s="1257" t="s">
        <v>1758</v>
      </c>
      <c r="K10" s="1257" t="s">
        <v>1758</v>
      </c>
      <c r="L10" s="1257"/>
    </row>
    <row r="11" spans="1:13">
      <c r="A11" s="1257">
        <f>SUBTOTAL(103,$C$7:C11)</f>
        <v>5</v>
      </c>
      <c r="B11" s="1257"/>
      <c r="C11" s="1257" t="s">
        <v>1254</v>
      </c>
      <c r="D11" s="1291" t="s">
        <v>2</v>
      </c>
      <c r="E11" s="1257" t="s">
        <v>50</v>
      </c>
      <c r="F11" s="1259" t="s">
        <v>255</v>
      </c>
      <c r="G11" s="1259" t="s">
        <v>255</v>
      </c>
      <c r="H11" s="1257" t="s">
        <v>255</v>
      </c>
      <c r="I11" s="1257" t="s">
        <v>1758</v>
      </c>
      <c r="J11" s="1257" t="s">
        <v>1758</v>
      </c>
      <c r="K11" s="1257" t="s">
        <v>1758</v>
      </c>
      <c r="L11" s="1257"/>
    </row>
    <row r="12" spans="1:13">
      <c r="A12" s="1257">
        <f>SUBTOTAL(103,$C$7:C12)</f>
        <v>6</v>
      </c>
      <c r="B12" s="1257"/>
      <c r="C12" s="1257" t="s">
        <v>1255</v>
      </c>
      <c r="D12" s="1291" t="s">
        <v>2</v>
      </c>
      <c r="E12" s="1257" t="s">
        <v>50</v>
      </c>
      <c r="F12" s="1259" t="s">
        <v>255</v>
      </c>
      <c r="G12" s="1259" t="s">
        <v>255</v>
      </c>
      <c r="H12" s="1257" t="s">
        <v>255</v>
      </c>
      <c r="I12" s="1257" t="s">
        <v>1758</v>
      </c>
      <c r="J12" s="1257" t="s">
        <v>1758</v>
      </c>
      <c r="K12" s="1257" t="s">
        <v>1758</v>
      </c>
      <c r="L12" s="1257"/>
    </row>
    <row r="13" spans="1:13">
      <c r="A13" s="1257">
        <f>SUBTOTAL(103,$C$7:C13)</f>
        <v>7</v>
      </c>
      <c r="B13" s="1257"/>
      <c r="C13" s="1257" t="s">
        <v>1256</v>
      </c>
      <c r="D13" s="1291" t="s">
        <v>2</v>
      </c>
      <c r="E13" s="1257" t="s">
        <v>50</v>
      </c>
      <c r="F13" s="1259" t="s">
        <v>255</v>
      </c>
      <c r="G13" s="1259" t="s">
        <v>255</v>
      </c>
      <c r="H13" s="1257" t="s">
        <v>255</v>
      </c>
      <c r="I13" s="1257" t="s">
        <v>1758</v>
      </c>
      <c r="J13" s="1257" t="s">
        <v>1758</v>
      </c>
      <c r="K13" s="1257" t="s">
        <v>1758</v>
      </c>
      <c r="L13" s="1257"/>
    </row>
    <row r="14" spans="1:13">
      <c r="A14" s="1257">
        <f>SUBTOTAL(103,$C$7:C14)</f>
        <v>8</v>
      </c>
      <c r="B14" s="1257"/>
      <c r="C14" s="1257" t="s">
        <v>1257</v>
      </c>
      <c r="D14" s="1291" t="s">
        <v>79</v>
      </c>
      <c r="E14" s="1257" t="s">
        <v>50</v>
      </c>
      <c r="F14" s="1259" t="s">
        <v>255</v>
      </c>
      <c r="G14" s="1259" t="s">
        <v>255</v>
      </c>
      <c r="H14" s="1257" t="s">
        <v>255</v>
      </c>
      <c r="I14" s="1257" t="s">
        <v>1758</v>
      </c>
      <c r="J14" s="1257" t="s">
        <v>1758</v>
      </c>
      <c r="K14" s="1257" t="s">
        <v>1758</v>
      </c>
      <c r="L14" s="1257"/>
    </row>
    <row r="15" spans="1:13">
      <c r="A15" s="1257">
        <f>SUBTOTAL(103,$C$7:C15)</f>
        <v>9</v>
      </c>
      <c r="B15" s="1257"/>
      <c r="C15" s="1257" t="s">
        <v>1258</v>
      </c>
      <c r="D15" s="1291" t="s">
        <v>183</v>
      </c>
      <c r="E15" s="1257" t="s">
        <v>50</v>
      </c>
      <c r="F15" s="1259" t="s">
        <v>255</v>
      </c>
      <c r="G15" s="1259" t="s">
        <v>255</v>
      </c>
      <c r="H15" s="1257" t="s">
        <v>255</v>
      </c>
      <c r="I15" s="1257" t="s">
        <v>1758</v>
      </c>
      <c r="J15" s="1257" t="s">
        <v>1758</v>
      </c>
      <c r="K15" s="1257" t="s">
        <v>1758</v>
      </c>
      <c r="L15" s="1257"/>
    </row>
    <row r="16" spans="1:13">
      <c r="A16" s="1257">
        <f>SUBTOTAL(103,$C$7:C16)</f>
        <v>10</v>
      </c>
      <c r="B16" s="1257"/>
      <c r="C16" s="1257" t="s">
        <v>1259</v>
      </c>
      <c r="D16" s="1291" t="s">
        <v>2</v>
      </c>
      <c r="E16" s="1257" t="s">
        <v>50</v>
      </c>
      <c r="F16" s="1259" t="s">
        <v>255</v>
      </c>
      <c r="G16" s="1259" t="s">
        <v>255</v>
      </c>
      <c r="H16" s="1257" t="s">
        <v>255</v>
      </c>
      <c r="I16" s="1257" t="s">
        <v>1758</v>
      </c>
      <c r="J16" s="1257" t="s">
        <v>1758</v>
      </c>
      <c r="K16" s="1257" t="s">
        <v>1758</v>
      </c>
      <c r="L16" s="1257"/>
    </row>
    <row r="17" spans="1:12">
      <c r="A17" s="1257">
        <f>SUBTOTAL(103,$C$7:C17)</f>
        <v>11</v>
      </c>
      <c r="B17" s="1257"/>
      <c r="C17" s="1257" t="s">
        <v>1260</v>
      </c>
      <c r="D17" s="1291" t="s">
        <v>2</v>
      </c>
      <c r="E17" s="1257" t="s">
        <v>50</v>
      </c>
      <c r="F17" s="1259" t="s">
        <v>255</v>
      </c>
      <c r="G17" s="1259" t="s">
        <v>255</v>
      </c>
      <c r="H17" s="1257" t="s">
        <v>255</v>
      </c>
      <c r="I17" s="1257" t="s">
        <v>1758</v>
      </c>
      <c r="J17" s="1257" t="s">
        <v>1758</v>
      </c>
      <c r="K17" s="1257" t="s">
        <v>1758</v>
      </c>
      <c r="L17" s="1257"/>
    </row>
    <row r="18" spans="1:12">
      <c r="A18" s="1257">
        <f>SUBTOTAL(103,$C$7:C18)</f>
        <v>12</v>
      </c>
      <c r="B18" s="1257"/>
      <c r="C18" s="1257" t="s">
        <v>1261</v>
      </c>
      <c r="D18" s="1291" t="s">
        <v>3</v>
      </c>
      <c r="E18" s="1257" t="s">
        <v>50</v>
      </c>
      <c r="F18" s="1259" t="s">
        <v>255</v>
      </c>
      <c r="G18" s="1259" t="s">
        <v>255</v>
      </c>
      <c r="H18" s="1257" t="s">
        <v>255</v>
      </c>
      <c r="I18" s="1257" t="s">
        <v>1758</v>
      </c>
      <c r="J18" s="1257" t="s">
        <v>1758</v>
      </c>
      <c r="K18" s="1257" t="s">
        <v>1758</v>
      </c>
      <c r="L18" s="1257"/>
    </row>
    <row r="19" spans="1:12">
      <c r="A19" s="1257">
        <f>SUBTOTAL(103,$C$7:C19)</f>
        <v>13</v>
      </c>
      <c r="B19" s="1257"/>
      <c r="C19" s="1257" t="s">
        <v>1262</v>
      </c>
      <c r="D19" s="1291" t="s">
        <v>3</v>
      </c>
      <c r="E19" s="1257" t="s">
        <v>50</v>
      </c>
      <c r="F19" s="1259" t="s">
        <v>255</v>
      </c>
      <c r="G19" s="1259" t="s">
        <v>255</v>
      </c>
      <c r="H19" s="1257" t="s">
        <v>255</v>
      </c>
      <c r="I19" s="1257" t="s">
        <v>1758</v>
      </c>
      <c r="J19" s="1257" t="s">
        <v>1758</v>
      </c>
      <c r="K19" s="1257" t="s">
        <v>1758</v>
      </c>
      <c r="L19" s="1257"/>
    </row>
    <row r="20" spans="1:12">
      <c r="A20" s="1257">
        <f>SUBTOTAL(103,$C$7:C20)</f>
        <v>14</v>
      </c>
      <c r="B20" s="1257"/>
      <c r="C20" s="1257" t="s">
        <v>1263</v>
      </c>
      <c r="D20" s="1291" t="s">
        <v>2</v>
      </c>
      <c r="E20" s="1257" t="s">
        <v>50</v>
      </c>
      <c r="F20" s="1259" t="s">
        <v>255</v>
      </c>
      <c r="G20" s="1259" t="s">
        <v>255</v>
      </c>
      <c r="H20" s="1257" t="s">
        <v>255</v>
      </c>
      <c r="I20" s="1257" t="s">
        <v>1758</v>
      </c>
      <c r="J20" s="1257" t="s">
        <v>1758</v>
      </c>
      <c r="K20" s="1257" t="s">
        <v>1758</v>
      </c>
      <c r="L20" s="1257"/>
    </row>
    <row r="21" spans="1:12">
      <c r="A21" s="1257">
        <f>SUBTOTAL(103,$C$7:C21)</f>
        <v>15</v>
      </c>
      <c r="B21" s="1257" t="s">
        <v>539</v>
      </c>
      <c r="C21" s="1257" t="s">
        <v>1264</v>
      </c>
      <c r="D21" s="1291" t="s">
        <v>3</v>
      </c>
      <c r="E21" s="1257" t="s">
        <v>50</v>
      </c>
      <c r="F21" s="1259" t="s">
        <v>255</v>
      </c>
      <c r="G21" s="1259" t="s">
        <v>255</v>
      </c>
      <c r="H21" s="1257" t="s">
        <v>255</v>
      </c>
      <c r="I21" s="1257" t="s">
        <v>1758</v>
      </c>
      <c r="J21" s="1257" t="s">
        <v>1758</v>
      </c>
      <c r="K21" s="1257" t="s">
        <v>1758</v>
      </c>
      <c r="L21" s="1257"/>
    </row>
    <row r="22" spans="1:12">
      <c r="A22" s="1257">
        <f>SUBTOTAL(103,$C$7:C22)</f>
        <v>16</v>
      </c>
      <c r="B22" s="1257"/>
      <c r="C22" s="1257" t="s">
        <v>1265</v>
      </c>
      <c r="D22" s="1291" t="s">
        <v>211</v>
      </c>
      <c r="E22" s="1257" t="s">
        <v>50</v>
      </c>
      <c r="F22" s="1259" t="s">
        <v>255</v>
      </c>
      <c r="G22" s="1259" t="s">
        <v>255</v>
      </c>
      <c r="H22" s="1257" t="s">
        <v>255</v>
      </c>
      <c r="I22" s="1257" t="s">
        <v>1758</v>
      </c>
      <c r="J22" s="1257" t="s">
        <v>1758</v>
      </c>
      <c r="K22" s="1257" t="s">
        <v>1758</v>
      </c>
      <c r="L22" s="1257"/>
    </row>
    <row r="23" spans="1:12">
      <c r="A23" s="1257">
        <f>SUBTOTAL(103,$C$7:C23)</f>
        <v>17</v>
      </c>
      <c r="B23" s="1257"/>
      <c r="C23" s="1257" t="s">
        <v>1266</v>
      </c>
      <c r="D23" s="1291" t="s">
        <v>2</v>
      </c>
      <c r="E23" s="1257" t="s">
        <v>50</v>
      </c>
      <c r="F23" s="1259" t="s">
        <v>255</v>
      </c>
      <c r="G23" s="1259" t="s">
        <v>255</v>
      </c>
      <c r="H23" s="1257" t="s">
        <v>255</v>
      </c>
      <c r="I23" s="1257" t="s">
        <v>1758</v>
      </c>
      <c r="J23" s="1257" t="s">
        <v>1758</v>
      </c>
      <c r="K23" s="1257" t="s">
        <v>1758</v>
      </c>
      <c r="L23" s="1257"/>
    </row>
    <row r="24" spans="1:12">
      <c r="A24" s="1257">
        <f>SUBTOTAL(103,$C$7:C24)</f>
        <v>18</v>
      </c>
      <c r="B24" s="1257"/>
      <c r="C24" s="1257" t="s">
        <v>1267</v>
      </c>
      <c r="D24" s="1291" t="s">
        <v>49</v>
      </c>
      <c r="E24" s="1257" t="s">
        <v>50</v>
      </c>
      <c r="F24" s="1259" t="s">
        <v>255</v>
      </c>
      <c r="G24" s="1259" t="s">
        <v>255</v>
      </c>
      <c r="H24" s="1257" t="s">
        <v>255</v>
      </c>
      <c r="I24" s="1257" t="s">
        <v>1758</v>
      </c>
      <c r="J24" s="1257" t="s">
        <v>1758</v>
      </c>
      <c r="K24" s="1257" t="s">
        <v>1758</v>
      </c>
      <c r="L24" s="1257"/>
    </row>
    <row r="25" spans="1:12">
      <c r="A25" s="1257">
        <f>SUBTOTAL(103,$C$7:C25)</f>
        <v>19</v>
      </c>
      <c r="B25" s="1257"/>
      <c r="C25" s="1257" t="s">
        <v>1268</v>
      </c>
      <c r="D25" s="1291" t="s">
        <v>79</v>
      </c>
      <c r="E25" s="1257" t="s">
        <v>50</v>
      </c>
      <c r="F25" s="1259" t="s">
        <v>255</v>
      </c>
      <c r="G25" s="1259" t="s">
        <v>255</v>
      </c>
      <c r="H25" s="1257" t="s">
        <v>255</v>
      </c>
      <c r="I25" s="1257" t="s">
        <v>1758</v>
      </c>
      <c r="J25" s="1257" t="s">
        <v>1758</v>
      </c>
      <c r="K25" s="1257" t="s">
        <v>1758</v>
      </c>
      <c r="L25" s="1257"/>
    </row>
    <row r="26" spans="1:12">
      <c r="A26" s="1257">
        <f>SUBTOTAL(103,$C$7:C26)</f>
        <v>20</v>
      </c>
      <c r="B26" s="1257"/>
      <c r="C26" s="1257" t="s">
        <v>256</v>
      </c>
      <c r="D26" s="1292" t="s">
        <v>215</v>
      </c>
      <c r="E26" s="1257" t="s">
        <v>50</v>
      </c>
      <c r="F26" s="1259" t="s">
        <v>255</v>
      </c>
      <c r="G26" s="1259" t="s">
        <v>255</v>
      </c>
      <c r="H26" s="1257" t="s">
        <v>255</v>
      </c>
      <c r="I26" s="1257" t="s">
        <v>1758</v>
      </c>
      <c r="J26" s="1257" t="s">
        <v>1758</v>
      </c>
      <c r="K26" s="1257" t="s">
        <v>1758</v>
      </c>
      <c r="L26" s="1257"/>
    </row>
    <row r="27" spans="1:12">
      <c r="A27" s="1257">
        <f>SUBTOTAL(103,$C$7:C27)</f>
        <v>21</v>
      </c>
      <c r="B27" s="1257"/>
      <c r="C27" s="1257" t="s">
        <v>454</v>
      </c>
      <c r="D27" s="1291" t="s">
        <v>79</v>
      </c>
      <c r="E27" s="1257" t="s">
        <v>50</v>
      </c>
      <c r="F27" s="1259" t="s">
        <v>255</v>
      </c>
      <c r="G27" s="1259" t="s">
        <v>255</v>
      </c>
      <c r="H27" s="1257" t="s">
        <v>255</v>
      </c>
      <c r="I27" s="1257" t="s">
        <v>1758</v>
      </c>
      <c r="J27" s="1257" t="s">
        <v>1758</v>
      </c>
      <c r="K27" s="1257" t="s">
        <v>1758</v>
      </c>
      <c r="L27" s="1257"/>
    </row>
    <row r="28" spans="1:12">
      <c r="A28" s="1257">
        <f>SUBTOTAL(103,$C$7:C28)</f>
        <v>22</v>
      </c>
      <c r="B28" s="1257" t="s">
        <v>891</v>
      </c>
      <c r="C28" s="1257" t="s">
        <v>892</v>
      </c>
      <c r="D28" s="1291" t="s">
        <v>226</v>
      </c>
      <c r="E28" s="1257" t="s">
        <v>50</v>
      </c>
      <c r="F28" s="1259" t="s">
        <v>255</v>
      </c>
      <c r="G28" s="1259" t="s">
        <v>255</v>
      </c>
      <c r="H28" s="1257" t="s">
        <v>255</v>
      </c>
      <c r="I28" s="1257" t="s">
        <v>1758</v>
      </c>
      <c r="J28" s="1257" t="s">
        <v>1758</v>
      </c>
      <c r="K28" s="1257" t="s">
        <v>1758</v>
      </c>
      <c r="L28" s="1257"/>
    </row>
    <row r="29" spans="1:12">
      <c r="A29" s="1257">
        <f>SUBTOTAL(103,$C$7:C29)</f>
        <v>23</v>
      </c>
      <c r="B29" s="1257"/>
      <c r="C29" s="1257" t="s">
        <v>893</v>
      </c>
      <c r="D29" s="1291" t="s">
        <v>79</v>
      </c>
      <c r="E29" s="1257" t="s">
        <v>50</v>
      </c>
      <c r="F29" s="1259" t="s">
        <v>255</v>
      </c>
      <c r="G29" s="1259" t="s">
        <v>255</v>
      </c>
      <c r="H29" s="1257" t="s">
        <v>255</v>
      </c>
      <c r="I29" s="1257" t="s">
        <v>1758</v>
      </c>
      <c r="J29" s="1257" t="s">
        <v>1758</v>
      </c>
      <c r="K29" s="1257" t="s">
        <v>1758</v>
      </c>
      <c r="L29" s="1257"/>
    </row>
    <row r="30" spans="1:12">
      <c r="A30" s="1257">
        <f>SUBTOTAL(103,$C$7:C30)</f>
        <v>24</v>
      </c>
      <c r="B30" s="1257"/>
      <c r="C30" s="1257" t="s">
        <v>894</v>
      </c>
      <c r="D30" s="1291" t="s">
        <v>79</v>
      </c>
      <c r="E30" s="1257" t="s">
        <v>50</v>
      </c>
      <c r="F30" s="1259" t="s">
        <v>255</v>
      </c>
      <c r="G30" s="1259" t="s">
        <v>255</v>
      </c>
      <c r="H30" s="1257" t="s">
        <v>255</v>
      </c>
      <c r="I30" s="1257" t="s">
        <v>1758</v>
      </c>
      <c r="J30" s="1257" t="s">
        <v>1758</v>
      </c>
      <c r="K30" s="1257" t="s">
        <v>1758</v>
      </c>
      <c r="L30" s="1257"/>
    </row>
    <row r="31" spans="1:12">
      <c r="A31" s="1257">
        <f>SUBTOTAL(103,$C$7:C31)</f>
        <v>25</v>
      </c>
      <c r="B31" s="1257"/>
      <c r="C31" s="1257" t="s">
        <v>895</v>
      </c>
      <c r="D31" s="1291" t="s">
        <v>49</v>
      </c>
      <c r="E31" s="1257" t="s">
        <v>50</v>
      </c>
      <c r="F31" s="1259" t="s">
        <v>255</v>
      </c>
      <c r="G31" s="1259" t="s">
        <v>255</v>
      </c>
      <c r="H31" s="1257" t="s">
        <v>255</v>
      </c>
      <c r="I31" s="1257" t="s">
        <v>1758</v>
      </c>
      <c r="J31" s="1257" t="s">
        <v>1758</v>
      </c>
      <c r="K31" s="1257" t="s">
        <v>1758</v>
      </c>
      <c r="L31" s="1257"/>
    </row>
    <row r="32" spans="1:12">
      <c r="A32" s="1257">
        <f>SUBTOTAL(103,$C$7:C32)</f>
        <v>26</v>
      </c>
      <c r="B32" s="1257"/>
      <c r="C32" s="1257" t="s">
        <v>896</v>
      </c>
      <c r="D32" s="1291" t="s">
        <v>79</v>
      </c>
      <c r="E32" s="1257" t="s">
        <v>50</v>
      </c>
      <c r="F32" s="1259" t="s">
        <v>255</v>
      </c>
      <c r="G32" s="1259" t="s">
        <v>255</v>
      </c>
      <c r="H32" s="1257" t="s">
        <v>255</v>
      </c>
      <c r="I32" s="1257" t="s">
        <v>1758</v>
      </c>
      <c r="J32" s="1257" t="s">
        <v>1758</v>
      </c>
      <c r="K32" s="1257" t="s">
        <v>1758</v>
      </c>
      <c r="L32" s="1257"/>
    </row>
    <row r="33" spans="1:12">
      <c r="A33" s="1257">
        <f>SUBTOTAL(103,$C$7:C33)</f>
        <v>27</v>
      </c>
      <c r="B33" s="1257"/>
      <c r="C33" s="1257" t="s">
        <v>897</v>
      </c>
      <c r="D33" s="1291" t="s">
        <v>49</v>
      </c>
      <c r="E33" s="1257" t="s">
        <v>50</v>
      </c>
      <c r="F33" s="1259" t="s">
        <v>255</v>
      </c>
      <c r="G33" s="1259" t="s">
        <v>255</v>
      </c>
      <c r="H33" s="1257" t="s">
        <v>255</v>
      </c>
      <c r="I33" s="1257" t="s">
        <v>1758</v>
      </c>
      <c r="J33" s="1257" t="s">
        <v>1758</v>
      </c>
      <c r="K33" s="1257" t="s">
        <v>1758</v>
      </c>
      <c r="L33" s="1257"/>
    </row>
    <row r="34" spans="1:12">
      <c r="A34" s="1257">
        <f>SUBTOTAL(103,$C$7:C34)</f>
        <v>28</v>
      </c>
      <c r="B34" s="1257"/>
      <c r="C34" s="1257" t="s">
        <v>898</v>
      </c>
      <c r="D34" s="1291" t="s">
        <v>49</v>
      </c>
      <c r="E34" s="1257" t="s">
        <v>50</v>
      </c>
      <c r="F34" s="1259" t="s">
        <v>255</v>
      </c>
      <c r="G34" s="1259" t="s">
        <v>255</v>
      </c>
      <c r="H34" s="1257" t="s">
        <v>255</v>
      </c>
      <c r="I34" s="1257" t="s">
        <v>1758</v>
      </c>
      <c r="J34" s="1257" t="s">
        <v>1758</v>
      </c>
      <c r="K34" s="1257" t="s">
        <v>1758</v>
      </c>
      <c r="L34" s="1257"/>
    </row>
    <row r="35" spans="1:12">
      <c r="A35" s="1257">
        <f>SUBTOTAL(103,$C$7:C35)</f>
        <v>29</v>
      </c>
      <c r="B35" s="1257" t="s">
        <v>1139</v>
      </c>
      <c r="C35" s="1257" t="s">
        <v>257</v>
      </c>
      <c r="D35" s="1291" t="s">
        <v>227</v>
      </c>
      <c r="E35" s="1257" t="s">
        <v>50</v>
      </c>
      <c r="F35" s="1259" t="s">
        <v>255</v>
      </c>
      <c r="G35" s="1259" t="s">
        <v>255</v>
      </c>
      <c r="H35" s="1257" t="s">
        <v>255</v>
      </c>
      <c r="I35" s="1257" t="s">
        <v>1758</v>
      </c>
      <c r="J35" s="1257" t="s">
        <v>1758</v>
      </c>
      <c r="K35" s="1257" t="s">
        <v>1758</v>
      </c>
      <c r="L35" s="1257"/>
    </row>
    <row r="36" spans="1:12">
      <c r="A36" s="1257">
        <f>SUBTOTAL(103,$C$7:C36)</f>
        <v>30</v>
      </c>
      <c r="B36" s="1257"/>
      <c r="C36" s="1257" t="s">
        <v>459</v>
      </c>
      <c r="D36" s="1291" t="s">
        <v>79</v>
      </c>
      <c r="E36" s="1257" t="s">
        <v>50</v>
      </c>
      <c r="F36" s="1259" t="s">
        <v>255</v>
      </c>
      <c r="G36" s="1259" t="s">
        <v>255</v>
      </c>
      <c r="H36" s="1257" t="s">
        <v>255</v>
      </c>
      <c r="I36" s="1257" t="s">
        <v>1758</v>
      </c>
      <c r="J36" s="1257" t="s">
        <v>1758</v>
      </c>
      <c r="K36" s="1257" t="s">
        <v>1758</v>
      </c>
      <c r="L36" s="1257"/>
    </row>
    <row r="37" spans="1:12">
      <c r="A37" s="1257">
        <f>SUBTOTAL(103,$C$7:C37)</f>
        <v>31</v>
      </c>
      <c r="B37" s="1257"/>
      <c r="C37" s="1257" t="s">
        <v>460</v>
      </c>
      <c r="D37" s="1291" t="s">
        <v>49</v>
      </c>
      <c r="E37" s="1257" t="s">
        <v>50</v>
      </c>
      <c r="F37" s="1259" t="s">
        <v>255</v>
      </c>
      <c r="G37" s="1259" t="s">
        <v>255</v>
      </c>
      <c r="H37" s="1257" t="s">
        <v>255</v>
      </c>
      <c r="I37" s="1257" t="s">
        <v>1758</v>
      </c>
      <c r="J37" s="1257" t="s">
        <v>1758</v>
      </c>
      <c r="K37" s="1257" t="s">
        <v>1758</v>
      </c>
      <c r="L37" s="1257"/>
    </row>
    <row r="38" spans="1:12">
      <c r="A38" s="1257">
        <f>SUBTOTAL(103,$C$7:C38)</f>
        <v>32</v>
      </c>
      <c r="B38" s="1257"/>
      <c r="C38" s="1257" t="s">
        <v>461</v>
      </c>
      <c r="D38" s="1291" t="s">
        <v>49</v>
      </c>
      <c r="E38" s="1257" t="s">
        <v>50</v>
      </c>
      <c r="F38" s="1259" t="s">
        <v>255</v>
      </c>
      <c r="G38" s="1259" t="s">
        <v>255</v>
      </c>
      <c r="H38" s="1257" t="s">
        <v>255</v>
      </c>
      <c r="I38" s="1257" t="s">
        <v>1758</v>
      </c>
      <c r="J38" s="1257" t="s">
        <v>1758</v>
      </c>
      <c r="K38" s="1257" t="s">
        <v>1758</v>
      </c>
      <c r="L38" s="1257"/>
    </row>
    <row r="39" spans="1:12">
      <c r="A39" s="1257">
        <f>SUBTOTAL(103,$C$7:C39)</f>
        <v>33</v>
      </c>
      <c r="B39" s="1257"/>
      <c r="C39" s="1257" t="s">
        <v>462</v>
      </c>
      <c r="D39" s="1291" t="s">
        <v>154</v>
      </c>
      <c r="E39" s="1257" t="s">
        <v>50</v>
      </c>
      <c r="F39" s="1259" t="s">
        <v>255</v>
      </c>
      <c r="G39" s="1259" t="s">
        <v>255</v>
      </c>
      <c r="H39" s="1257" t="s">
        <v>255</v>
      </c>
      <c r="I39" s="1257" t="s">
        <v>1758</v>
      </c>
      <c r="J39" s="1257" t="s">
        <v>1758</v>
      </c>
      <c r="K39" s="1257" t="s">
        <v>1758</v>
      </c>
      <c r="L39" s="1257"/>
    </row>
    <row r="40" spans="1:12">
      <c r="A40" s="1257">
        <f>SUBTOTAL(103,$C$7:C40)</f>
        <v>34</v>
      </c>
      <c r="B40" s="1257"/>
      <c r="C40" s="1257" t="s">
        <v>463</v>
      </c>
      <c r="D40" s="1291" t="s">
        <v>79</v>
      </c>
      <c r="E40" s="1257" t="s">
        <v>50</v>
      </c>
      <c r="F40" s="1259" t="s">
        <v>255</v>
      </c>
      <c r="G40" s="1259" t="s">
        <v>255</v>
      </c>
      <c r="H40" s="1257" t="s">
        <v>255</v>
      </c>
      <c r="I40" s="1257" t="s">
        <v>1758</v>
      </c>
      <c r="J40" s="1257" t="s">
        <v>1758</v>
      </c>
      <c r="K40" s="1257" t="s">
        <v>1758</v>
      </c>
      <c r="L40" s="1257"/>
    </row>
    <row r="41" spans="1:12">
      <c r="A41" s="1257">
        <f>SUBTOTAL(103,$C$7:C41)</f>
        <v>35</v>
      </c>
      <c r="B41" s="1257"/>
      <c r="C41" s="1257" t="s">
        <v>464</v>
      </c>
      <c r="D41" s="1291" t="s">
        <v>2</v>
      </c>
      <c r="E41" s="1257" t="s">
        <v>50</v>
      </c>
      <c r="F41" s="1259" t="s">
        <v>255</v>
      </c>
      <c r="G41" s="1259" t="s">
        <v>255</v>
      </c>
      <c r="H41" s="1257" t="s">
        <v>255</v>
      </c>
      <c r="I41" s="1257" t="s">
        <v>1758</v>
      </c>
      <c r="J41" s="1257" t="s">
        <v>1758</v>
      </c>
      <c r="K41" s="1257" t="s">
        <v>1758</v>
      </c>
      <c r="L41" s="1257"/>
    </row>
    <row r="42" spans="1:12">
      <c r="A42" s="1257">
        <f>SUBTOTAL(103,$C$7:C42)</f>
        <v>36</v>
      </c>
      <c r="B42" s="1257"/>
      <c r="C42" s="1257" t="s">
        <v>465</v>
      </c>
      <c r="D42" s="1291" t="s">
        <v>49</v>
      </c>
      <c r="E42" s="1257" t="s">
        <v>50</v>
      </c>
      <c r="F42" s="1259" t="s">
        <v>255</v>
      </c>
      <c r="G42" s="1259" t="s">
        <v>255</v>
      </c>
      <c r="H42" s="1257" t="s">
        <v>255</v>
      </c>
      <c r="I42" s="1257" t="s">
        <v>1758</v>
      </c>
      <c r="J42" s="1257" t="s">
        <v>1758</v>
      </c>
      <c r="K42" s="1257" t="s">
        <v>1758</v>
      </c>
      <c r="L42" s="1257"/>
    </row>
    <row r="43" spans="1:12">
      <c r="A43" s="1257">
        <f>SUBTOTAL(103,$C$7:C43)</f>
        <v>37</v>
      </c>
      <c r="B43" s="1257"/>
      <c r="C43" s="1257" t="s">
        <v>466</v>
      </c>
      <c r="D43" s="1291" t="s">
        <v>79</v>
      </c>
      <c r="E43" s="1257" t="s">
        <v>50</v>
      </c>
      <c r="F43" s="1259" t="s">
        <v>255</v>
      </c>
      <c r="G43" s="1259" t="s">
        <v>255</v>
      </c>
      <c r="H43" s="1257" t="s">
        <v>255</v>
      </c>
      <c r="I43" s="1257" t="s">
        <v>1758</v>
      </c>
      <c r="J43" s="1257" t="s">
        <v>1758</v>
      </c>
      <c r="K43" s="1257" t="s">
        <v>1758</v>
      </c>
      <c r="L43" s="1257"/>
    </row>
    <row r="44" spans="1:12">
      <c r="A44" s="1257">
        <f>SUBTOTAL(103,$C$7:C44)</f>
        <v>38</v>
      </c>
      <c r="B44" s="1257"/>
      <c r="C44" s="1257" t="s">
        <v>467</v>
      </c>
      <c r="D44" s="1291" t="s">
        <v>79</v>
      </c>
      <c r="E44" s="1257" t="s">
        <v>50</v>
      </c>
      <c r="F44" s="1259" t="s">
        <v>255</v>
      </c>
      <c r="G44" s="1259" t="s">
        <v>255</v>
      </c>
      <c r="H44" s="1257" t="s">
        <v>255</v>
      </c>
      <c r="I44" s="1257" t="s">
        <v>1758</v>
      </c>
      <c r="J44" s="1257" t="s">
        <v>1758</v>
      </c>
      <c r="K44" s="1257" t="s">
        <v>1758</v>
      </c>
      <c r="L44" s="1257"/>
    </row>
    <row r="45" spans="1:12">
      <c r="A45" s="1257">
        <f>SUBTOTAL(103,$C$7:C45)</f>
        <v>39</v>
      </c>
      <c r="B45" s="1257"/>
      <c r="C45" s="1257" t="s">
        <v>468</v>
      </c>
      <c r="D45" s="1291" t="s">
        <v>49</v>
      </c>
      <c r="E45" s="1257" t="s">
        <v>50</v>
      </c>
      <c r="F45" s="1259" t="s">
        <v>255</v>
      </c>
      <c r="G45" s="1259" t="s">
        <v>255</v>
      </c>
      <c r="H45" s="1257" t="s">
        <v>255</v>
      </c>
      <c r="I45" s="1257" t="s">
        <v>1758</v>
      </c>
      <c r="J45" s="1257" t="s">
        <v>1758</v>
      </c>
      <c r="K45" s="1257" t="s">
        <v>1758</v>
      </c>
      <c r="L45" s="1257"/>
    </row>
    <row r="46" spans="1:12">
      <c r="A46" s="1257">
        <f>SUBTOTAL(103,$C$7:C46)</f>
        <v>40</v>
      </c>
      <c r="B46" s="1257" t="s">
        <v>673</v>
      </c>
      <c r="C46" s="1257" t="s">
        <v>674</v>
      </c>
      <c r="D46" s="1291" t="s">
        <v>403</v>
      </c>
      <c r="E46" s="1257" t="s">
        <v>50</v>
      </c>
      <c r="F46" s="1259" t="s">
        <v>255</v>
      </c>
      <c r="G46" s="1259" t="s">
        <v>255</v>
      </c>
      <c r="H46" s="1257" t="s">
        <v>255</v>
      </c>
      <c r="I46" s="1257" t="s">
        <v>1758</v>
      </c>
      <c r="J46" s="1257" t="s">
        <v>1758</v>
      </c>
      <c r="K46" s="1257" t="s">
        <v>1758</v>
      </c>
      <c r="L46" s="1257"/>
    </row>
    <row r="47" spans="1:12">
      <c r="A47" s="1257">
        <f>SUBTOTAL(103,$C$7:C47)</f>
        <v>41</v>
      </c>
      <c r="B47" s="1257" t="s">
        <v>541</v>
      </c>
      <c r="C47" s="1257" t="s">
        <v>258</v>
      </c>
      <c r="D47" s="1291" t="s">
        <v>211</v>
      </c>
      <c r="E47" s="1257" t="s">
        <v>50</v>
      </c>
      <c r="F47" s="1259" t="s">
        <v>255</v>
      </c>
      <c r="G47" s="1259" t="s">
        <v>255</v>
      </c>
      <c r="H47" s="1257" t="s">
        <v>255</v>
      </c>
      <c r="I47" s="1257" t="s">
        <v>1758</v>
      </c>
      <c r="J47" s="1257" t="s">
        <v>1758</v>
      </c>
      <c r="K47" s="1257" t="s">
        <v>1758</v>
      </c>
      <c r="L47" s="1257"/>
    </row>
    <row r="48" spans="1:12">
      <c r="A48" s="1257">
        <f>SUBTOTAL(103,$C$7:C48)</f>
        <v>42</v>
      </c>
      <c r="B48" s="1257"/>
      <c r="C48" s="1257" t="s">
        <v>259</v>
      </c>
      <c r="D48" s="1291" t="s">
        <v>49</v>
      </c>
      <c r="E48" s="1257" t="s">
        <v>50</v>
      </c>
      <c r="F48" s="1259" t="s">
        <v>255</v>
      </c>
      <c r="G48" s="1259" t="s">
        <v>255</v>
      </c>
      <c r="H48" s="1257" t="s">
        <v>255</v>
      </c>
      <c r="I48" s="1257" t="s">
        <v>1758</v>
      </c>
      <c r="J48" s="1257" t="s">
        <v>1758</v>
      </c>
      <c r="K48" s="1257" t="s">
        <v>1758</v>
      </c>
      <c r="L48" s="1257"/>
    </row>
    <row r="49" spans="1:12">
      <c r="A49" s="1257">
        <f>SUBTOTAL(103,$C$7:C49)</f>
        <v>43</v>
      </c>
      <c r="B49" s="1257"/>
      <c r="C49" s="1257" t="s">
        <v>260</v>
      </c>
      <c r="D49" s="1291" t="s">
        <v>79</v>
      </c>
      <c r="E49" s="1257" t="s">
        <v>50</v>
      </c>
      <c r="F49" s="1259" t="s">
        <v>255</v>
      </c>
      <c r="G49" s="1259" t="s">
        <v>255</v>
      </c>
      <c r="H49" s="1257" t="s">
        <v>255</v>
      </c>
      <c r="I49" s="1257" t="s">
        <v>1758</v>
      </c>
      <c r="J49" s="1257" t="s">
        <v>1758</v>
      </c>
      <c r="K49" s="1257" t="s">
        <v>1758</v>
      </c>
      <c r="L49" s="1257"/>
    </row>
    <row r="50" spans="1:12">
      <c r="A50" s="1257">
        <f>SUBTOTAL(103,$C$7:C50)</f>
        <v>44</v>
      </c>
      <c r="B50" s="1257"/>
      <c r="C50" s="1257" t="s">
        <v>469</v>
      </c>
      <c r="D50" s="1291" t="s">
        <v>2</v>
      </c>
      <c r="E50" s="1257" t="s">
        <v>50</v>
      </c>
      <c r="F50" s="1259" t="s">
        <v>255</v>
      </c>
      <c r="G50" s="1259" t="s">
        <v>255</v>
      </c>
      <c r="H50" s="1257" t="s">
        <v>255</v>
      </c>
      <c r="I50" s="1257" t="s">
        <v>1758</v>
      </c>
      <c r="J50" s="1257" t="s">
        <v>1758</v>
      </c>
      <c r="K50" s="1257" t="s">
        <v>1758</v>
      </c>
      <c r="L50" s="1257"/>
    </row>
    <row r="51" spans="1:12">
      <c r="A51" s="1257">
        <f>SUBTOTAL(103,$C$7:C51)</f>
        <v>45</v>
      </c>
      <c r="B51" s="1257"/>
      <c r="C51" s="1257" t="s">
        <v>470</v>
      </c>
      <c r="D51" s="1291" t="s">
        <v>49</v>
      </c>
      <c r="E51" s="1257" t="s">
        <v>50</v>
      </c>
      <c r="F51" s="1259" t="s">
        <v>255</v>
      </c>
      <c r="G51" s="1259" t="s">
        <v>255</v>
      </c>
      <c r="H51" s="1257" t="s">
        <v>255</v>
      </c>
      <c r="I51" s="1257" t="s">
        <v>1758</v>
      </c>
      <c r="J51" s="1257" t="s">
        <v>1758</v>
      </c>
      <c r="K51" s="1257" t="s">
        <v>1758</v>
      </c>
      <c r="L51" s="1257"/>
    </row>
    <row r="52" spans="1:12">
      <c r="A52" s="1257">
        <f>SUBTOTAL(103,$C$7:C52)</f>
        <v>46</v>
      </c>
      <c r="B52" s="1257"/>
      <c r="C52" s="1257" t="s">
        <v>471</v>
      </c>
      <c r="D52" s="1291" t="s">
        <v>49</v>
      </c>
      <c r="E52" s="1257" t="s">
        <v>50</v>
      </c>
      <c r="F52" s="1259" t="s">
        <v>255</v>
      </c>
      <c r="G52" s="1259" t="s">
        <v>255</v>
      </c>
      <c r="H52" s="1257" t="s">
        <v>255</v>
      </c>
      <c r="I52" s="1257" t="s">
        <v>1758</v>
      </c>
      <c r="J52" s="1257" t="s">
        <v>1758</v>
      </c>
      <c r="K52" s="1257" t="s">
        <v>1758</v>
      </c>
      <c r="L52" s="1257"/>
    </row>
    <row r="53" spans="1:12">
      <c r="A53" s="1257">
        <f>SUBTOTAL(103,$C$7:C53)</f>
        <v>47</v>
      </c>
      <c r="B53" s="1257"/>
      <c r="C53" s="1257" t="s">
        <v>472</v>
      </c>
      <c r="D53" s="1291" t="s">
        <v>4</v>
      </c>
      <c r="E53" s="1257" t="s">
        <v>50</v>
      </c>
      <c r="F53" s="1259" t="s">
        <v>255</v>
      </c>
      <c r="G53" s="1259" t="s">
        <v>255</v>
      </c>
      <c r="H53" s="1257" t="s">
        <v>255</v>
      </c>
      <c r="I53" s="1257" t="s">
        <v>1758</v>
      </c>
      <c r="J53" s="1257" t="s">
        <v>1758</v>
      </c>
      <c r="K53" s="1257" t="s">
        <v>1758</v>
      </c>
      <c r="L53" s="1257"/>
    </row>
    <row r="54" spans="1:12">
      <c r="A54" s="1257">
        <f>SUBTOTAL(103,$C$7:C54)</f>
        <v>48</v>
      </c>
      <c r="B54" s="1257"/>
      <c r="C54" s="1257" t="s">
        <v>473</v>
      </c>
      <c r="D54" s="1291" t="s">
        <v>170</v>
      </c>
      <c r="E54" s="1257" t="s">
        <v>50</v>
      </c>
      <c r="F54" s="1259" t="s">
        <v>255</v>
      </c>
      <c r="G54" s="1259" t="s">
        <v>255</v>
      </c>
      <c r="H54" s="1257" t="s">
        <v>255</v>
      </c>
      <c r="I54" s="1257" t="s">
        <v>1758</v>
      </c>
      <c r="J54" s="1257" t="s">
        <v>1758</v>
      </c>
      <c r="K54" s="1257" t="s">
        <v>1758</v>
      </c>
      <c r="L54" s="1257"/>
    </row>
    <row r="55" spans="1:12">
      <c r="A55" s="1257">
        <f>SUBTOTAL(103,$C$7:C55)</f>
        <v>49</v>
      </c>
      <c r="B55" s="1257"/>
      <c r="C55" s="1257" t="s">
        <v>474</v>
      </c>
      <c r="D55" s="1291" t="s">
        <v>2</v>
      </c>
      <c r="E55" s="1257" t="s">
        <v>50</v>
      </c>
      <c r="F55" s="1259" t="s">
        <v>255</v>
      </c>
      <c r="G55" s="1259" t="s">
        <v>255</v>
      </c>
      <c r="H55" s="1257" t="s">
        <v>255</v>
      </c>
      <c r="I55" s="1257" t="s">
        <v>1758</v>
      </c>
      <c r="J55" s="1257" t="s">
        <v>1758</v>
      </c>
      <c r="K55" s="1257" t="s">
        <v>1758</v>
      </c>
      <c r="L55" s="1257"/>
    </row>
    <row r="56" spans="1:12">
      <c r="A56" s="1257">
        <f>SUBTOTAL(103,$C$7:C56)</f>
        <v>50</v>
      </c>
      <c r="B56" s="1257"/>
      <c r="C56" s="1257" t="s">
        <v>475</v>
      </c>
      <c r="D56" s="1291" t="s">
        <v>79</v>
      </c>
      <c r="E56" s="1257" t="s">
        <v>50</v>
      </c>
      <c r="F56" s="1259" t="s">
        <v>255</v>
      </c>
      <c r="G56" s="1259" t="s">
        <v>255</v>
      </c>
      <c r="H56" s="1257" t="s">
        <v>255</v>
      </c>
      <c r="I56" s="1257" t="s">
        <v>1758</v>
      </c>
      <c r="J56" s="1257" t="s">
        <v>1758</v>
      </c>
      <c r="K56" s="1257" t="s">
        <v>1758</v>
      </c>
      <c r="L56" s="1257"/>
    </row>
    <row r="57" spans="1:12">
      <c r="A57" s="1257">
        <f>SUBTOTAL(103,$C$7:C57)</f>
        <v>51</v>
      </c>
      <c r="B57" s="1257"/>
      <c r="C57" s="1257" t="s">
        <v>476</v>
      </c>
      <c r="D57" s="1291" t="s">
        <v>170</v>
      </c>
      <c r="E57" s="1257" t="s">
        <v>50</v>
      </c>
      <c r="F57" s="1259" t="s">
        <v>255</v>
      </c>
      <c r="G57" s="1259" t="s">
        <v>255</v>
      </c>
      <c r="H57" s="1257" t="s">
        <v>255</v>
      </c>
      <c r="I57" s="1257" t="s">
        <v>1758</v>
      </c>
      <c r="J57" s="1257" t="s">
        <v>1758</v>
      </c>
      <c r="K57" s="1257" t="s">
        <v>1758</v>
      </c>
      <c r="L57" s="1257"/>
    </row>
    <row r="58" spans="1:12">
      <c r="A58" s="1257">
        <f>SUBTOTAL(103,$C$7:C58)</f>
        <v>52</v>
      </c>
      <c r="B58" s="1257"/>
      <c r="C58" s="1257" t="s">
        <v>477</v>
      </c>
      <c r="D58" s="1291" t="s">
        <v>154</v>
      </c>
      <c r="E58" s="1257" t="s">
        <v>50</v>
      </c>
      <c r="F58" s="1259" t="s">
        <v>255</v>
      </c>
      <c r="G58" s="1259" t="s">
        <v>255</v>
      </c>
      <c r="H58" s="1257" t="s">
        <v>255</v>
      </c>
      <c r="I58" s="1257" t="s">
        <v>1758</v>
      </c>
      <c r="J58" s="1257" t="s">
        <v>1758</v>
      </c>
      <c r="K58" s="1257" t="s">
        <v>1758</v>
      </c>
      <c r="L58" s="1257"/>
    </row>
    <row r="59" spans="1:12">
      <c r="A59" s="1257">
        <f>SUBTOTAL(103,$C$7:C59)</f>
        <v>53</v>
      </c>
      <c r="B59" s="1257"/>
      <c r="C59" s="1257" t="s">
        <v>492</v>
      </c>
      <c r="D59" s="1291" t="s">
        <v>170</v>
      </c>
      <c r="E59" s="1257" t="s">
        <v>50</v>
      </c>
      <c r="F59" s="1259" t="s">
        <v>255</v>
      </c>
      <c r="G59" s="1259" t="s">
        <v>255</v>
      </c>
      <c r="H59" s="1257" t="s">
        <v>255</v>
      </c>
      <c r="I59" s="1257" t="s">
        <v>1758</v>
      </c>
      <c r="J59" s="1257" t="s">
        <v>1758</v>
      </c>
      <c r="K59" s="1257" t="s">
        <v>1758</v>
      </c>
      <c r="L59" s="1257"/>
    </row>
    <row r="60" spans="1:12">
      <c r="A60" s="1257">
        <f>SUBTOTAL(103,$C$7:C60)</f>
        <v>54</v>
      </c>
      <c r="B60" s="1257" t="s">
        <v>542</v>
      </c>
      <c r="C60" s="1257" t="s">
        <v>261</v>
      </c>
      <c r="D60" s="1291" t="s">
        <v>184</v>
      </c>
      <c r="E60" s="1257" t="s">
        <v>50</v>
      </c>
      <c r="F60" s="1259" t="s">
        <v>255</v>
      </c>
      <c r="G60" s="1259" t="s">
        <v>255</v>
      </c>
      <c r="H60" s="1257" t="s">
        <v>255</v>
      </c>
      <c r="I60" s="1257" t="s">
        <v>1758</v>
      </c>
      <c r="J60" s="1257" t="s">
        <v>1758</v>
      </c>
      <c r="K60" s="1257" t="s">
        <v>1758</v>
      </c>
      <c r="L60" s="1257"/>
    </row>
    <row r="61" spans="1:12">
      <c r="A61" s="1257">
        <f>SUBTOTAL(103,$C$7:C61)</f>
        <v>55</v>
      </c>
      <c r="B61" s="1257"/>
      <c r="C61" s="1257" t="s">
        <v>478</v>
      </c>
      <c r="D61" s="1291" t="s">
        <v>4</v>
      </c>
      <c r="E61" s="1257" t="s">
        <v>50</v>
      </c>
      <c r="F61" s="1259" t="s">
        <v>255</v>
      </c>
      <c r="G61" s="1259" t="s">
        <v>255</v>
      </c>
      <c r="H61" s="1257" t="s">
        <v>255</v>
      </c>
      <c r="I61" s="1257" t="s">
        <v>1758</v>
      </c>
      <c r="J61" s="1257" t="s">
        <v>1758</v>
      </c>
      <c r="K61" s="1257" t="s">
        <v>1758</v>
      </c>
      <c r="L61" s="1257"/>
    </row>
    <row r="62" spans="1:12">
      <c r="A62" s="1257">
        <f>SUBTOTAL(103,$C$7:C62)</f>
        <v>56</v>
      </c>
      <c r="B62" s="1257"/>
      <c r="C62" s="1257" t="s">
        <v>479</v>
      </c>
      <c r="D62" s="1291" t="s">
        <v>79</v>
      </c>
      <c r="E62" s="1257" t="s">
        <v>50</v>
      </c>
      <c r="F62" s="1259" t="s">
        <v>255</v>
      </c>
      <c r="G62" s="1259" t="s">
        <v>255</v>
      </c>
      <c r="H62" s="1257" t="s">
        <v>255</v>
      </c>
      <c r="I62" s="1257" t="s">
        <v>1758</v>
      </c>
      <c r="J62" s="1257" t="s">
        <v>1758</v>
      </c>
      <c r="K62" s="1257" t="s">
        <v>1758</v>
      </c>
      <c r="L62" s="1257"/>
    </row>
    <row r="63" spans="1:12">
      <c r="A63" s="1257">
        <f>SUBTOTAL(103,$C$7:C63)</f>
        <v>57</v>
      </c>
      <c r="B63" s="1257"/>
      <c r="C63" s="1257" t="s">
        <v>480</v>
      </c>
      <c r="D63" s="1291" t="s">
        <v>49</v>
      </c>
      <c r="E63" s="1257" t="s">
        <v>50</v>
      </c>
      <c r="F63" s="1259" t="s">
        <v>255</v>
      </c>
      <c r="G63" s="1259" t="s">
        <v>255</v>
      </c>
      <c r="H63" s="1257" t="s">
        <v>255</v>
      </c>
      <c r="I63" s="1257" t="s">
        <v>1758</v>
      </c>
      <c r="J63" s="1257" t="s">
        <v>1758</v>
      </c>
      <c r="K63" s="1257" t="s">
        <v>1758</v>
      </c>
      <c r="L63" s="1257"/>
    </row>
    <row r="64" spans="1:12">
      <c r="A64" s="1257">
        <f>SUBTOTAL(103,$C$7:C64)</f>
        <v>58</v>
      </c>
      <c r="B64" s="1257"/>
      <c r="C64" s="1257" t="s">
        <v>481</v>
      </c>
      <c r="D64" s="1291" t="s">
        <v>79</v>
      </c>
      <c r="E64" s="1257" t="s">
        <v>50</v>
      </c>
      <c r="F64" s="1259" t="s">
        <v>255</v>
      </c>
      <c r="G64" s="1259" t="s">
        <v>255</v>
      </c>
      <c r="H64" s="1257" t="s">
        <v>255</v>
      </c>
      <c r="I64" s="1257" t="s">
        <v>1758</v>
      </c>
      <c r="J64" s="1257" t="s">
        <v>1758</v>
      </c>
      <c r="K64" s="1257" t="s">
        <v>1758</v>
      </c>
      <c r="L64" s="1257"/>
    </row>
    <row r="65" spans="1:12">
      <c r="A65" s="1257">
        <f>SUBTOTAL(103,$C$7:C65)</f>
        <v>59</v>
      </c>
      <c r="B65" s="1257"/>
      <c r="C65" s="1257" t="s">
        <v>482</v>
      </c>
      <c r="D65" s="1291" t="s">
        <v>79</v>
      </c>
      <c r="E65" s="1257" t="s">
        <v>50</v>
      </c>
      <c r="F65" s="1259" t="s">
        <v>255</v>
      </c>
      <c r="G65" s="1259" t="s">
        <v>255</v>
      </c>
      <c r="H65" s="1257" t="s">
        <v>255</v>
      </c>
      <c r="I65" s="1257" t="s">
        <v>1758</v>
      </c>
      <c r="J65" s="1257" t="s">
        <v>1758</v>
      </c>
      <c r="K65" s="1257" t="s">
        <v>1758</v>
      </c>
      <c r="L65" s="1257"/>
    </row>
    <row r="66" spans="1:12">
      <c r="A66" s="1257">
        <f>SUBTOTAL(103,$C$7:C66)</f>
        <v>60</v>
      </c>
      <c r="B66" s="1257"/>
      <c r="C66" s="1257" t="s">
        <v>483</v>
      </c>
      <c r="D66" s="1291" t="s">
        <v>154</v>
      </c>
      <c r="E66" s="1257" t="s">
        <v>50</v>
      </c>
      <c r="F66" s="1259" t="s">
        <v>255</v>
      </c>
      <c r="G66" s="1259" t="s">
        <v>255</v>
      </c>
      <c r="H66" s="1257" t="s">
        <v>255</v>
      </c>
      <c r="I66" s="1257" t="s">
        <v>1758</v>
      </c>
      <c r="J66" s="1257" t="s">
        <v>1758</v>
      </c>
      <c r="K66" s="1257" t="s">
        <v>1758</v>
      </c>
      <c r="L66" s="1257"/>
    </row>
    <row r="67" spans="1:12">
      <c r="A67" s="1257">
        <f>SUBTOTAL(103,$C$7:C67)</f>
        <v>61</v>
      </c>
      <c r="B67" s="1257" t="s">
        <v>543</v>
      </c>
      <c r="C67" s="1257" t="s">
        <v>493</v>
      </c>
      <c r="D67" s="1291" t="s">
        <v>227</v>
      </c>
      <c r="E67" s="1257" t="s">
        <v>50</v>
      </c>
      <c r="F67" s="1259" t="s">
        <v>255</v>
      </c>
      <c r="G67" s="1259" t="s">
        <v>255</v>
      </c>
      <c r="H67" s="1257" t="s">
        <v>255</v>
      </c>
      <c r="I67" s="1257" t="s">
        <v>1758</v>
      </c>
      <c r="J67" s="1257" t="s">
        <v>1758</v>
      </c>
      <c r="K67" s="1257" t="s">
        <v>1758</v>
      </c>
      <c r="L67" s="1257"/>
    </row>
    <row r="68" spans="1:12">
      <c r="A68" s="1257">
        <f>SUBTOTAL(103,$C$7:C68)</f>
        <v>62</v>
      </c>
      <c r="B68" s="1257"/>
      <c r="C68" s="1257" t="s">
        <v>494</v>
      </c>
      <c r="D68" s="1291" t="s">
        <v>170</v>
      </c>
      <c r="E68" s="1257" t="s">
        <v>50</v>
      </c>
      <c r="F68" s="1259" t="s">
        <v>255</v>
      </c>
      <c r="G68" s="1259" t="s">
        <v>255</v>
      </c>
      <c r="H68" s="1257" t="s">
        <v>255</v>
      </c>
      <c r="I68" s="1257" t="s">
        <v>1758</v>
      </c>
      <c r="J68" s="1257" t="s">
        <v>1758</v>
      </c>
      <c r="K68" s="1257" t="s">
        <v>1758</v>
      </c>
      <c r="L68" s="1257"/>
    </row>
    <row r="69" spans="1:12">
      <c r="A69" s="1257">
        <f>SUBTOTAL(103,$C$7:C69)</f>
        <v>63</v>
      </c>
      <c r="B69" s="1257"/>
      <c r="C69" s="1257" t="s">
        <v>495</v>
      </c>
      <c r="D69" s="1291" t="s">
        <v>2</v>
      </c>
      <c r="E69" s="1257" t="s">
        <v>50</v>
      </c>
      <c r="F69" s="1259" t="s">
        <v>255</v>
      </c>
      <c r="G69" s="1259" t="s">
        <v>255</v>
      </c>
      <c r="H69" s="1257" t="s">
        <v>255</v>
      </c>
      <c r="I69" s="1257" t="s">
        <v>1758</v>
      </c>
      <c r="J69" s="1257" t="s">
        <v>1758</v>
      </c>
      <c r="K69" s="1257" t="s">
        <v>1758</v>
      </c>
      <c r="L69" s="1257"/>
    </row>
    <row r="70" spans="1:12">
      <c r="A70" s="1257">
        <f>SUBTOTAL(103,$C$7:C70)</f>
        <v>64</v>
      </c>
      <c r="B70" s="1257"/>
      <c r="C70" s="1257" t="s">
        <v>496</v>
      </c>
      <c r="D70" s="1291" t="s">
        <v>2</v>
      </c>
      <c r="E70" s="1257" t="s">
        <v>50</v>
      </c>
      <c r="F70" s="1259" t="s">
        <v>255</v>
      </c>
      <c r="G70" s="1259" t="s">
        <v>255</v>
      </c>
      <c r="H70" s="1257" t="s">
        <v>255</v>
      </c>
      <c r="I70" s="1257" t="s">
        <v>1758</v>
      </c>
      <c r="J70" s="1257" t="s">
        <v>1758</v>
      </c>
      <c r="K70" s="1257" t="s">
        <v>1758</v>
      </c>
      <c r="L70" s="1257"/>
    </row>
    <row r="71" spans="1:12">
      <c r="A71" s="1257">
        <f>SUBTOTAL(103,$C$7:C71)</f>
        <v>65</v>
      </c>
      <c r="B71" s="1257"/>
      <c r="C71" s="1257" t="s">
        <v>497</v>
      </c>
      <c r="D71" s="1291" t="s">
        <v>2</v>
      </c>
      <c r="E71" s="1257" t="s">
        <v>50</v>
      </c>
      <c r="F71" s="1259" t="s">
        <v>255</v>
      </c>
      <c r="G71" s="1259" t="s">
        <v>255</v>
      </c>
      <c r="H71" s="1257" t="s">
        <v>255</v>
      </c>
      <c r="I71" s="1257" t="s">
        <v>1758</v>
      </c>
      <c r="J71" s="1257" t="s">
        <v>1758</v>
      </c>
      <c r="K71" s="1257" t="s">
        <v>1758</v>
      </c>
      <c r="L71" s="1257"/>
    </row>
    <row r="72" spans="1:12">
      <c r="A72" s="1257">
        <f>SUBTOTAL(103,$C$7:C72)</f>
        <v>66</v>
      </c>
      <c r="B72" s="1257"/>
      <c r="C72" s="1257" t="s">
        <v>498</v>
      </c>
      <c r="D72" s="1291" t="s">
        <v>2</v>
      </c>
      <c r="E72" s="1257" t="s">
        <v>50</v>
      </c>
      <c r="F72" s="1259" t="s">
        <v>255</v>
      </c>
      <c r="G72" s="1259" t="s">
        <v>255</v>
      </c>
      <c r="H72" s="1257" t="s">
        <v>255</v>
      </c>
      <c r="I72" s="1257" t="s">
        <v>1758</v>
      </c>
      <c r="J72" s="1257" t="s">
        <v>1758</v>
      </c>
      <c r="K72" s="1257" t="s">
        <v>1758</v>
      </c>
      <c r="L72" s="1257"/>
    </row>
    <row r="73" spans="1:12">
      <c r="A73" s="1257">
        <f>SUBTOTAL(103,$C$7:C73)</f>
        <v>67</v>
      </c>
      <c r="B73" s="1257" t="s">
        <v>544</v>
      </c>
      <c r="C73" s="1257" t="s">
        <v>262</v>
      </c>
      <c r="D73" s="1291" t="s">
        <v>197</v>
      </c>
      <c r="E73" s="1257" t="s">
        <v>50</v>
      </c>
      <c r="F73" s="1259" t="s">
        <v>255</v>
      </c>
      <c r="G73" s="1259" t="s">
        <v>255</v>
      </c>
      <c r="H73" s="1257" t="s">
        <v>255</v>
      </c>
      <c r="I73" s="1257" t="s">
        <v>1758</v>
      </c>
      <c r="J73" s="1257" t="s">
        <v>1758</v>
      </c>
      <c r="K73" s="1257" t="s">
        <v>1758</v>
      </c>
      <c r="L73" s="1257"/>
    </row>
    <row r="74" spans="1:12">
      <c r="A74" s="1257">
        <f>SUBTOTAL(103,$C$7:C74)</f>
        <v>68</v>
      </c>
      <c r="B74" s="1257"/>
      <c r="C74" s="1257" t="s">
        <v>392</v>
      </c>
      <c r="D74" s="1291" t="s">
        <v>4</v>
      </c>
      <c r="E74" s="1257" t="s">
        <v>50</v>
      </c>
      <c r="F74" s="1259" t="s">
        <v>255</v>
      </c>
      <c r="G74" s="1259" t="s">
        <v>255</v>
      </c>
      <c r="H74" s="1257" t="s">
        <v>255</v>
      </c>
      <c r="I74" s="1257" t="s">
        <v>1758</v>
      </c>
      <c r="J74" s="1257" t="s">
        <v>1758</v>
      </c>
      <c r="K74" s="1257" t="s">
        <v>1758</v>
      </c>
      <c r="L74" s="1257"/>
    </row>
    <row r="75" spans="1:12">
      <c r="A75" s="1257">
        <f>SUBTOTAL(103,$C$7:C75)</f>
        <v>69</v>
      </c>
      <c r="B75" s="1257"/>
      <c r="C75" s="1257" t="s">
        <v>393</v>
      </c>
      <c r="D75" s="1291" t="s">
        <v>79</v>
      </c>
      <c r="E75" s="1257" t="s">
        <v>50</v>
      </c>
      <c r="F75" s="1259" t="s">
        <v>255</v>
      </c>
      <c r="G75" s="1259" t="s">
        <v>255</v>
      </c>
      <c r="H75" s="1257" t="s">
        <v>255</v>
      </c>
      <c r="I75" s="1257" t="s">
        <v>1758</v>
      </c>
      <c r="J75" s="1257" t="s">
        <v>1758</v>
      </c>
      <c r="K75" s="1257" t="s">
        <v>1758</v>
      </c>
      <c r="L75" s="1257"/>
    </row>
    <row r="76" spans="1:12">
      <c r="A76" s="1257">
        <f>SUBTOTAL(103,$C$7:C76)</f>
        <v>70</v>
      </c>
      <c r="B76" s="1257"/>
      <c r="C76" s="1257" t="s">
        <v>394</v>
      </c>
      <c r="D76" s="1291" t="s">
        <v>49</v>
      </c>
      <c r="E76" s="1257" t="s">
        <v>50</v>
      </c>
      <c r="F76" s="1259" t="s">
        <v>255</v>
      </c>
      <c r="G76" s="1259" t="s">
        <v>255</v>
      </c>
      <c r="H76" s="1257" t="s">
        <v>255</v>
      </c>
      <c r="I76" s="1257" t="s">
        <v>1758</v>
      </c>
      <c r="J76" s="1257" t="s">
        <v>1758</v>
      </c>
      <c r="K76" s="1257" t="s">
        <v>1758</v>
      </c>
      <c r="L76" s="1257"/>
    </row>
    <row r="77" spans="1:12">
      <c r="A77" s="1257">
        <f>SUBTOTAL(103,$C$7:C77)</f>
        <v>71</v>
      </c>
      <c r="B77" s="1257"/>
      <c r="C77" s="1257" t="s">
        <v>395</v>
      </c>
      <c r="D77" s="1291" t="s">
        <v>79</v>
      </c>
      <c r="E77" s="1257" t="s">
        <v>50</v>
      </c>
      <c r="F77" s="1259" t="s">
        <v>255</v>
      </c>
      <c r="G77" s="1259" t="s">
        <v>255</v>
      </c>
      <c r="H77" s="1257" t="s">
        <v>255</v>
      </c>
      <c r="I77" s="1257" t="s">
        <v>1758</v>
      </c>
      <c r="J77" s="1257" t="s">
        <v>1758</v>
      </c>
      <c r="K77" s="1257" t="s">
        <v>1758</v>
      </c>
      <c r="L77" s="1257"/>
    </row>
    <row r="78" spans="1:12">
      <c r="A78" s="1257">
        <f>SUBTOTAL(103,$C$7:C78)</f>
        <v>72</v>
      </c>
      <c r="B78" s="1257"/>
      <c r="C78" s="1257" t="s">
        <v>396</v>
      </c>
      <c r="D78" s="1291" t="s">
        <v>49</v>
      </c>
      <c r="E78" s="1257" t="s">
        <v>50</v>
      </c>
      <c r="F78" s="1259" t="s">
        <v>255</v>
      </c>
      <c r="G78" s="1259" t="s">
        <v>255</v>
      </c>
      <c r="H78" s="1257" t="s">
        <v>255</v>
      </c>
      <c r="I78" s="1257" t="s">
        <v>1758</v>
      </c>
      <c r="J78" s="1257" t="s">
        <v>1758</v>
      </c>
      <c r="K78" s="1257" t="s">
        <v>1758</v>
      </c>
      <c r="L78" s="1257"/>
    </row>
    <row r="79" spans="1:12">
      <c r="A79" s="1257">
        <f>SUBTOTAL(103,$C$7:C79)</f>
        <v>73</v>
      </c>
      <c r="B79" s="1257"/>
      <c r="C79" s="1257" t="s">
        <v>397</v>
      </c>
      <c r="D79" s="1291" t="s">
        <v>2</v>
      </c>
      <c r="E79" s="1257" t="s">
        <v>50</v>
      </c>
      <c r="F79" s="1259" t="s">
        <v>255</v>
      </c>
      <c r="G79" s="1259" t="s">
        <v>255</v>
      </c>
      <c r="H79" s="1257" t="s">
        <v>255</v>
      </c>
      <c r="I79" s="1257" t="s">
        <v>1758</v>
      </c>
      <c r="J79" s="1257" t="s">
        <v>1758</v>
      </c>
      <c r="K79" s="1257" t="s">
        <v>1758</v>
      </c>
      <c r="L79" s="1257"/>
    </row>
    <row r="80" spans="1:12">
      <c r="A80" s="1257">
        <f>SUBTOTAL(103,$C$7:C80)</f>
        <v>74</v>
      </c>
      <c r="B80" s="1257"/>
      <c r="C80" s="1257" t="s">
        <v>398</v>
      </c>
      <c r="D80" s="1291" t="s">
        <v>2</v>
      </c>
      <c r="E80" s="1257" t="s">
        <v>50</v>
      </c>
      <c r="F80" s="1259" t="s">
        <v>255</v>
      </c>
      <c r="G80" s="1259" t="s">
        <v>255</v>
      </c>
      <c r="H80" s="1257" t="s">
        <v>255</v>
      </c>
      <c r="I80" s="1257" t="s">
        <v>1758</v>
      </c>
      <c r="J80" s="1257" t="s">
        <v>1758</v>
      </c>
      <c r="K80" s="1257" t="s">
        <v>1758</v>
      </c>
      <c r="L80" s="1257"/>
    </row>
    <row r="81" spans="1:12">
      <c r="A81" s="1257">
        <f>SUBTOTAL(103,$C$7:C81)</f>
        <v>75</v>
      </c>
      <c r="B81" s="1257"/>
      <c r="C81" s="1257" t="s">
        <v>399</v>
      </c>
      <c r="D81" s="1291" t="s">
        <v>49</v>
      </c>
      <c r="E81" s="1257" t="s">
        <v>50</v>
      </c>
      <c r="F81" s="1259" t="s">
        <v>255</v>
      </c>
      <c r="G81" s="1259" t="s">
        <v>255</v>
      </c>
      <c r="H81" s="1257" t="s">
        <v>255</v>
      </c>
      <c r="I81" s="1257" t="s">
        <v>1758</v>
      </c>
      <c r="J81" s="1257" t="s">
        <v>1758</v>
      </c>
      <c r="K81" s="1257" t="s">
        <v>1758</v>
      </c>
      <c r="L81" s="1257"/>
    </row>
    <row r="82" spans="1:12">
      <c r="A82" s="1257">
        <f>SUBTOTAL(103,$C$7:C82)</f>
        <v>76</v>
      </c>
      <c r="B82" s="1257"/>
      <c r="C82" s="1257" t="s">
        <v>400</v>
      </c>
      <c r="D82" s="1291" t="s">
        <v>2</v>
      </c>
      <c r="E82" s="1257" t="s">
        <v>50</v>
      </c>
      <c r="F82" s="1259" t="s">
        <v>255</v>
      </c>
      <c r="G82" s="1259" t="s">
        <v>255</v>
      </c>
      <c r="H82" s="1257" t="s">
        <v>255</v>
      </c>
      <c r="I82" s="1257" t="s">
        <v>1758</v>
      </c>
      <c r="J82" s="1257" t="s">
        <v>1758</v>
      </c>
      <c r="K82" s="1257" t="s">
        <v>1758</v>
      </c>
      <c r="L82" s="1257"/>
    </row>
    <row r="83" spans="1:12">
      <c r="A83" s="1257">
        <f>SUBTOTAL(103,$C$7:C83)</f>
        <v>77</v>
      </c>
      <c r="B83" s="1257"/>
      <c r="C83" s="1257" t="s">
        <v>401</v>
      </c>
      <c r="D83" s="1291" t="s">
        <v>3</v>
      </c>
      <c r="E83" s="1257" t="s">
        <v>50</v>
      </c>
      <c r="F83" s="1259" t="s">
        <v>255</v>
      </c>
      <c r="G83" s="1259" t="s">
        <v>255</v>
      </c>
      <c r="H83" s="1257" t="s">
        <v>255</v>
      </c>
      <c r="I83" s="1257" t="s">
        <v>1758</v>
      </c>
      <c r="J83" s="1257" t="s">
        <v>1758</v>
      </c>
      <c r="K83" s="1257" t="s">
        <v>1758</v>
      </c>
      <c r="L83" s="1257"/>
    </row>
    <row r="84" spans="1:12">
      <c r="A84" s="1257">
        <f>SUBTOTAL(103,$C$7:C84)</f>
        <v>78</v>
      </c>
      <c r="B84" s="1257"/>
      <c r="C84" s="1257" t="s">
        <v>402</v>
      </c>
      <c r="D84" s="1291" t="s">
        <v>49</v>
      </c>
      <c r="E84" s="1257" t="s">
        <v>50</v>
      </c>
      <c r="F84" s="1259" t="s">
        <v>255</v>
      </c>
      <c r="G84" s="1259" t="s">
        <v>255</v>
      </c>
      <c r="H84" s="1257" t="s">
        <v>255</v>
      </c>
      <c r="I84" s="1257" t="s">
        <v>1758</v>
      </c>
      <c r="J84" s="1257" t="s">
        <v>1758</v>
      </c>
      <c r="K84" s="1257" t="s">
        <v>1758</v>
      </c>
      <c r="L84" s="1257"/>
    </row>
    <row r="85" spans="1:12">
      <c r="A85" s="1257">
        <f>SUBTOTAL(103,$C$7:C85)</f>
        <v>79</v>
      </c>
      <c r="B85" s="1257" t="s">
        <v>545</v>
      </c>
      <c r="C85" s="1257" t="s">
        <v>484</v>
      </c>
      <c r="D85" s="1291" t="s">
        <v>403</v>
      </c>
      <c r="E85" s="1257" t="s">
        <v>50</v>
      </c>
      <c r="F85" s="1259" t="s">
        <v>255</v>
      </c>
      <c r="G85" s="1259" t="s">
        <v>255</v>
      </c>
      <c r="H85" s="1257" t="s">
        <v>255</v>
      </c>
      <c r="I85" s="1257" t="s">
        <v>1758</v>
      </c>
      <c r="J85" s="1257" t="s">
        <v>1758</v>
      </c>
      <c r="K85" s="1257" t="s">
        <v>1758</v>
      </c>
      <c r="L85" s="1257"/>
    </row>
    <row r="86" spans="1:12">
      <c r="A86" s="1257">
        <f>SUBTOTAL(103,$C$7:C86)</f>
        <v>80</v>
      </c>
      <c r="B86" s="1257" t="s">
        <v>546</v>
      </c>
      <c r="C86" s="1257" t="s">
        <v>263</v>
      </c>
      <c r="D86" s="1291" t="s">
        <v>403</v>
      </c>
      <c r="E86" s="1257" t="s">
        <v>50</v>
      </c>
      <c r="F86" s="1259" t="s">
        <v>255</v>
      </c>
      <c r="G86" s="1259" t="s">
        <v>255</v>
      </c>
      <c r="H86" s="1257" t="s">
        <v>255</v>
      </c>
      <c r="I86" s="1257" t="s">
        <v>1758</v>
      </c>
      <c r="J86" s="1257" t="s">
        <v>1758</v>
      </c>
      <c r="K86" s="1257" t="s">
        <v>1758</v>
      </c>
      <c r="L86" s="1257"/>
    </row>
    <row r="87" spans="1:12">
      <c r="A87" s="1257">
        <f>SUBTOTAL(103,$C$7:C87)</f>
        <v>81</v>
      </c>
      <c r="B87" s="1257"/>
      <c r="C87" s="1257" t="s">
        <v>404</v>
      </c>
      <c r="D87" s="1291" t="s">
        <v>2</v>
      </c>
      <c r="E87" s="1257" t="s">
        <v>50</v>
      </c>
      <c r="F87" s="1259" t="s">
        <v>255</v>
      </c>
      <c r="G87" s="1259" t="s">
        <v>255</v>
      </c>
      <c r="H87" s="1257" t="s">
        <v>255</v>
      </c>
      <c r="I87" s="1257" t="s">
        <v>1758</v>
      </c>
      <c r="J87" s="1257" t="s">
        <v>1758</v>
      </c>
      <c r="K87" s="1257" t="s">
        <v>1758</v>
      </c>
      <c r="L87" s="1257"/>
    </row>
    <row r="88" spans="1:12">
      <c r="A88" s="1257">
        <f>SUBTOTAL(103,$C$7:C88)</f>
        <v>82</v>
      </c>
      <c r="B88" s="1257"/>
      <c r="C88" s="1257" t="s">
        <v>406</v>
      </c>
      <c r="D88" s="1291" t="s">
        <v>2</v>
      </c>
      <c r="E88" s="1257" t="s">
        <v>50</v>
      </c>
      <c r="F88" s="1259" t="s">
        <v>255</v>
      </c>
      <c r="G88" s="1259" t="s">
        <v>255</v>
      </c>
      <c r="H88" s="1257" t="s">
        <v>255</v>
      </c>
      <c r="I88" s="1257" t="s">
        <v>1758</v>
      </c>
      <c r="J88" s="1257" t="s">
        <v>1758</v>
      </c>
      <c r="K88" s="1257" t="s">
        <v>1758</v>
      </c>
      <c r="L88" s="1257"/>
    </row>
    <row r="89" spans="1:12">
      <c r="A89" s="1257">
        <f>SUBTOTAL(103,$C$7:C89)</f>
        <v>83</v>
      </c>
      <c r="B89" s="1257"/>
      <c r="C89" s="1257" t="s">
        <v>407</v>
      </c>
      <c r="D89" s="1291" t="s">
        <v>3</v>
      </c>
      <c r="E89" s="1257" t="s">
        <v>50</v>
      </c>
      <c r="F89" s="1259" t="s">
        <v>255</v>
      </c>
      <c r="G89" s="1259" t="s">
        <v>255</v>
      </c>
      <c r="H89" s="1257" t="s">
        <v>255</v>
      </c>
      <c r="I89" s="1257" t="s">
        <v>1758</v>
      </c>
      <c r="J89" s="1257" t="s">
        <v>1758</v>
      </c>
      <c r="K89" s="1257" t="s">
        <v>1758</v>
      </c>
      <c r="L89" s="1257"/>
    </row>
    <row r="90" spans="1:12">
      <c r="A90" s="1257">
        <f>SUBTOTAL(103,$C$7:C90)</f>
        <v>84</v>
      </c>
      <c r="B90" s="1257"/>
      <c r="C90" s="1257" t="s">
        <v>370</v>
      </c>
      <c r="D90" s="1291" t="s">
        <v>79</v>
      </c>
      <c r="E90" s="1257" t="s">
        <v>50</v>
      </c>
      <c r="F90" s="1259" t="s">
        <v>255</v>
      </c>
      <c r="G90" s="1259" t="s">
        <v>255</v>
      </c>
      <c r="H90" s="1257" t="s">
        <v>255</v>
      </c>
      <c r="I90" s="1257" t="s">
        <v>1758</v>
      </c>
      <c r="J90" s="1257" t="s">
        <v>1758</v>
      </c>
      <c r="K90" s="1257" t="s">
        <v>1758</v>
      </c>
      <c r="L90" s="1257"/>
    </row>
    <row r="91" spans="1:12">
      <c r="A91" s="1257">
        <f>SUBTOTAL(103,$C$7:C91)</f>
        <v>85</v>
      </c>
      <c r="B91" s="1257"/>
      <c r="C91" s="1257" t="s">
        <v>371</v>
      </c>
      <c r="D91" s="1291" t="s">
        <v>2</v>
      </c>
      <c r="E91" s="1257" t="s">
        <v>50</v>
      </c>
      <c r="F91" s="1259" t="s">
        <v>255</v>
      </c>
      <c r="G91" s="1259" t="s">
        <v>255</v>
      </c>
      <c r="H91" s="1257" t="s">
        <v>255</v>
      </c>
      <c r="I91" s="1257" t="s">
        <v>1758</v>
      </c>
      <c r="J91" s="1257" t="s">
        <v>1758</v>
      </c>
      <c r="K91" s="1257" t="s">
        <v>1758</v>
      </c>
      <c r="L91" s="1257"/>
    </row>
    <row r="92" spans="1:12">
      <c r="A92" s="1257">
        <f>SUBTOTAL(103,$C$7:C92)</f>
        <v>86</v>
      </c>
      <c r="B92" s="1257"/>
      <c r="C92" s="1257" t="s">
        <v>372</v>
      </c>
      <c r="D92" s="1291" t="s">
        <v>2</v>
      </c>
      <c r="E92" s="1257" t="s">
        <v>50</v>
      </c>
      <c r="F92" s="1259" t="s">
        <v>255</v>
      </c>
      <c r="G92" s="1259" t="s">
        <v>255</v>
      </c>
      <c r="H92" s="1257" t="s">
        <v>255</v>
      </c>
      <c r="I92" s="1257" t="s">
        <v>1758</v>
      </c>
      <c r="J92" s="1257" t="s">
        <v>1758</v>
      </c>
      <c r="K92" s="1257" t="s">
        <v>1758</v>
      </c>
      <c r="L92" s="1257"/>
    </row>
    <row r="93" spans="1:12">
      <c r="A93" s="1257">
        <f>SUBTOTAL(103,$C$7:C93)</f>
        <v>87</v>
      </c>
      <c r="B93" s="1257"/>
      <c r="C93" s="1257" t="s">
        <v>408</v>
      </c>
      <c r="D93" s="1291" t="s">
        <v>49</v>
      </c>
      <c r="E93" s="1257" t="s">
        <v>50</v>
      </c>
      <c r="F93" s="1259" t="s">
        <v>255</v>
      </c>
      <c r="G93" s="1259" t="s">
        <v>255</v>
      </c>
      <c r="H93" s="1257" t="s">
        <v>255</v>
      </c>
      <c r="I93" s="1257" t="s">
        <v>1758</v>
      </c>
      <c r="J93" s="1257" t="s">
        <v>1758</v>
      </c>
      <c r="K93" s="1257" t="s">
        <v>1758</v>
      </c>
      <c r="L93" s="1257"/>
    </row>
    <row r="94" spans="1:12">
      <c r="A94" s="1257">
        <f>SUBTOTAL(103,$C$7:C94)</f>
        <v>88</v>
      </c>
      <c r="B94" s="1257"/>
      <c r="C94" s="1257" t="s">
        <v>409</v>
      </c>
      <c r="D94" s="1291" t="s">
        <v>3</v>
      </c>
      <c r="E94" s="1257" t="s">
        <v>50</v>
      </c>
      <c r="F94" s="1259" t="s">
        <v>255</v>
      </c>
      <c r="G94" s="1259" t="s">
        <v>255</v>
      </c>
      <c r="H94" s="1257" t="s">
        <v>255</v>
      </c>
      <c r="I94" s="1257" t="s">
        <v>1758</v>
      </c>
      <c r="J94" s="1257" t="s">
        <v>1758</v>
      </c>
      <c r="K94" s="1257" t="s">
        <v>1758</v>
      </c>
      <c r="L94" s="1257"/>
    </row>
    <row r="95" spans="1:12">
      <c r="A95" s="1257">
        <f>SUBTOTAL(103,$C$7:C95)</f>
        <v>89</v>
      </c>
      <c r="B95" s="1257"/>
      <c r="C95" s="1257" t="s">
        <v>410</v>
      </c>
      <c r="D95" s="1291" t="s">
        <v>3</v>
      </c>
      <c r="E95" s="1257" t="s">
        <v>50</v>
      </c>
      <c r="F95" s="1259" t="s">
        <v>255</v>
      </c>
      <c r="G95" s="1259" t="s">
        <v>255</v>
      </c>
      <c r="H95" s="1257" t="s">
        <v>255</v>
      </c>
      <c r="I95" s="1257" t="s">
        <v>1758</v>
      </c>
      <c r="J95" s="1257" t="s">
        <v>1758</v>
      </c>
      <c r="K95" s="1257" t="s">
        <v>1758</v>
      </c>
      <c r="L95" s="1257"/>
    </row>
    <row r="96" spans="1:12">
      <c r="A96" s="1257">
        <f>SUBTOTAL(103,$C$7:C96)</f>
        <v>90</v>
      </c>
      <c r="B96" s="1257"/>
      <c r="C96" s="1257" t="s">
        <v>411</v>
      </c>
      <c r="D96" s="1291" t="s">
        <v>2</v>
      </c>
      <c r="E96" s="1257" t="s">
        <v>50</v>
      </c>
      <c r="F96" s="1259" t="s">
        <v>255</v>
      </c>
      <c r="G96" s="1259" t="s">
        <v>255</v>
      </c>
      <c r="H96" s="1257" t="s">
        <v>255</v>
      </c>
      <c r="I96" s="1257" t="s">
        <v>1758</v>
      </c>
      <c r="J96" s="1257" t="s">
        <v>1758</v>
      </c>
      <c r="K96" s="1257" t="s">
        <v>1758</v>
      </c>
      <c r="L96" s="1257"/>
    </row>
    <row r="97" spans="1:12">
      <c r="A97" s="1257">
        <f>SUBTOTAL(103,$C$7:C97)</f>
        <v>91</v>
      </c>
      <c r="B97" s="1257"/>
      <c r="C97" s="1257" t="s">
        <v>412</v>
      </c>
      <c r="D97" s="1291" t="s">
        <v>2</v>
      </c>
      <c r="E97" s="1257" t="s">
        <v>50</v>
      </c>
      <c r="F97" s="1259" t="s">
        <v>255</v>
      </c>
      <c r="G97" s="1259" t="s">
        <v>255</v>
      </c>
      <c r="H97" s="1257" t="s">
        <v>255</v>
      </c>
      <c r="I97" s="1257" t="s">
        <v>1758</v>
      </c>
      <c r="J97" s="1257" t="s">
        <v>1758</v>
      </c>
      <c r="K97" s="1257" t="s">
        <v>1758</v>
      </c>
      <c r="L97" s="1257"/>
    </row>
    <row r="98" spans="1:12">
      <c r="A98" s="1257">
        <f>SUBTOTAL(103,$C$7:C98)</f>
        <v>92</v>
      </c>
      <c r="B98" s="1257" t="s">
        <v>547</v>
      </c>
      <c r="C98" s="1257" t="s">
        <v>264</v>
      </c>
      <c r="D98" s="1291" t="s">
        <v>227</v>
      </c>
      <c r="E98" s="1257" t="s">
        <v>50</v>
      </c>
      <c r="F98" s="1259" t="s">
        <v>255</v>
      </c>
      <c r="G98" s="1259" t="s">
        <v>255</v>
      </c>
      <c r="H98" s="1257" t="s">
        <v>255</v>
      </c>
      <c r="I98" s="1257" t="s">
        <v>1758</v>
      </c>
      <c r="J98" s="1257" t="s">
        <v>1758</v>
      </c>
      <c r="K98" s="1257" t="s">
        <v>1758</v>
      </c>
      <c r="L98" s="1257"/>
    </row>
    <row r="99" spans="1:12">
      <c r="A99" s="1257">
        <f>SUBTOTAL(103,$C$7:C99)</f>
        <v>93</v>
      </c>
      <c r="B99" s="1257"/>
      <c r="C99" s="1257" t="s">
        <v>413</v>
      </c>
      <c r="D99" s="1291" t="s">
        <v>2</v>
      </c>
      <c r="E99" s="1257" t="s">
        <v>50</v>
      </c>
      <c r="F99" s="1259" t="s">
        <v>255</v>
      </c>
      <c r="G99" s="1259" t="s">
        <v>255</v>
      </c>
      <c r="H99" s="1257" t="s">
        <v>255</v>
      </c>
      <c r="I99" s="1257" t="s">
        <v>1758</v>
      </c>
      <c r="J99" s="1257" t="s">
        <v>1758</v>
      </c>
      <c r="K99" s="1257" t="s">
        <v>1758</v>
      </c>
      <c r="L99" s="1257"/>
    </row>
    <row r="100" spans="1:12">
      <c r="A100" s="1257">
        <f>SUBTOTAL(103,$C$7:C100)</f>
        <v>94</v>
      </c>
      <c r="B100" s="1257"/>
      <c r="C100" s="1257" t="s">
        <v>414</v>
      </c>
      <c r="D100" s="1291" t="s">
        <v>2</v>
      </c>
      <c r="E100" s="1257" t="s">
        <v>50</v>
      </c>
      <c r="F100" s="1259" t="s">
        <v>255</v>
      </c>
      <c r="G100" s="1259" t="s">
        <v>255</v>
      </c>
      <c r="H100" s="1257" t="s">
        <v>255</v>
      </c>
      <c r="I100" s="1257" t="s">
        <v>1758</v>
      </c>
      <c r="J100" s="1257" t="s">
        <v>1758</v>
      </c>
      <c r="K100" s="1257" t="s">
        <v>1758</v>
      </c>
      <c r="L100" s="1257"/>
    </row>
    <row r="101" spans="1:12">
      <c r="A101" s="1257">
        <f>SUBTOTAL(103,$C$7:C101)</f>
        <v>95</v>
      </c>
      <c r="B101" s="1257" t="s">
        <v>548</v>
      </c>
      <c r="C101" s="1257" t="s">
        <v>265</v>
      </c>
      <c r="D101" s="1291" t="s">
        <v>178</v>
      </c>
      <c r="E101" s="1257" t="s">
        <v>50</v>
      </c>
      <c r="F101" s="1259" t="s">
        <v>255</v>
      </c>
      <c r="G101" s="1259" t="s">
        <v>255</v>
      </c>
      <c r="H101" s="1257" t="s">
        <v>255</v>
      </c>
      <c r="I101" s="1257" t="s">
        <v>1758</v>
      </c>
      <c r="J101" s="1257" t="s">
        <v>1758</v>
      </c>
      <c r="K101" s="1257" t="s">
        <v>1758</v>
      </c>
      <c r="L101" s="1257"/>
    </row>
    <row r="102" spans="1:12">
      <c r="A102" s="1257">
        <f>SUBTOTAL(103,$C$7:C102)</f>
        <v>96</v>
      </c>
      <c r="B102" s="1257" t="s">
        <v>549</v>
      </c>
      <c r="C102" s="1257" t="s">
        <v>266</v>
      </c>
      <c r="D102" s="1291" t="s">
        <v>211</v>
      </c>
      <c r="E102" s="1257" t="s">
        <v>50</v>
      </c>
      <c r="F102" s="1259" t="s">
        <v>255</v>
      </c>
      <c r="G102" s="1259" t="s">
        <v>255</v>
      </c>
      <c r="H102" s="1257" t="s">
        <v>255</v>
      </c>
      <c r="I102" s="1257" t="s">
        <v>1758</v>
      </c>
      <c r="J102" s="1257" t="s">
        <v>1758</v>
      </c>
      <c r="K102" s="1257" t="s">
        <v>1758</v>
      </c>
      <c r="L102" s="1257"/>
    </row>
    <row r="103" spans="1:12">
      <c r="A103" s="1257">
        <f>SUBTOTAL(103,$C$7:C103)</f>
        <v>97</v>
      </c>
      <c r="B103" s="1257" t="s">
        <v>550</v>
      </c>
      <c r="C103" s="1257" t="s">
        <v>267</v>
      </c>
      <c r="D103" s="1291" t="s">
        <v>209</v>
      </c>
      <c r="E103" s="1257" t="s">
        <v>50</v>
      </c>
      <c r="F103" s="1259" t="s">
        <v>255</v>
      </c>
      <c r="G103" s="1259" t="s">
        <v>255</v>
      </c>
      <c r="H103" s="1257" t="s">
        <v>255</v>
      </c>
      <c r="I103" s="1257"/>
      <c r="J103" s="1257" t="s">
        <v>1758</v>
      </c>
      <c r="K103" s="1257" t="s">
        <v>311</v>
      </c>
      <c r="L103" s="1257"/>
    </row>
    <row r="104" spans="1:12">
      <c r="A104" s="1257">
        <f>SUBTOTAL(103,$C$7:C104)</f>
        <v>98</v>
      </c>
      <c r="B104" s="1257" t="s">
        <v>656</v>
      </c>
      <c r="C104" s="1257" t="s">
        <v>485</v>
      </c>
      <c r="D104" s="1291" t="s">
        <v>211</v>
      </c>
      <c r="E104" s="1257" t="s">
        <v>50</v>
      </c>
      <c r="F104" s="1259" t="s">
        <v>255</v>
      </c>
      <c r="G104" s="1259" t="s">
        <v>255</v>
      </c>
      <c r="H104" s="1257" t="s">
        <v>255</v>
      </c>
      <c r="I104" s="1257" t="s">
        <v>1758</v>
      </c>
      <c r="J104" s="1257" t="s">
        <v>1758</v>
      </c>
      <c r="K104" s="1257" t="s">
        <v>311</v>
      </c>
      <c r="L104" s="1257"/>
    </row>
    <row r="105" spans="1:12">
      <c r="A105" s="1257">
        <f>SUBTOTAL(103,$C$7:C105)</f>
        <v>99</v>
      </c>
      <c r="B105" s="1257" t="s">
        <v>551</v>
      </c>
      <c r="C105" s="1257" t="s">
        <v>11</v>
      </c>
      <c r="D105" s="1291" t="s">
        <v>186</v>
      </c>
      <c r="E105" s="1257" t="s">
        <v>50</v>
      </c>
      <c r="F105" s="1259" t="s">
        <v>255</v>
      </c>
      <c r="G105" s="1259" t="s">
        <v>255</v>
      </c>
      <c r="H105" s="1257" t="s">
        <v>255</v>
      </c>
      <c r="I105" s="1257" t="s">
        <v>1758</v>
      </c>
      <c r="J105" s="1257" t="s">
        <v>1758</v>
      </c>
      <c r="K105" s="1257" t="s">
        <v>311</v>
      </c>
      <c r="L105" s="1257"/>
    </row>
    <row r="106" spans="1:12">
      <c r="A106" s="1257">
        <f>SUBTOTAL(103,$C$7:C106)</f>
        <v>100</v>
      </c>
      <c r="B106" s="1257" t="s">
        <v>552</v>
      </c>
      <c r="C106" s="1257" t="s">
        <v>167</v>
      </c>
      <c r="D106" s="1291" t="s">
        <v>218</v>
      </c>
      <c r="E106" s="1257" t="s">
        <v>50</v>
      </c>
      <c r="F106" s="1259" t="s">
        <v>255</v>
      </c>
      <c r="G106" s="1259" t="s">
        <v>255</v>
      </c>
      <c r="H106" s="1257" t="s">
        <v>255</v>
      </c>
      <c r="I106" s="1257" t="s">
        <v>1758</v>
      </c>
      <c r="J106" s="1257" t="s">
        <v>1758</v>
      </c>
      <c r="K106" s="1257"/>
      <c r="L106" s="1257"/>
    </row>
    <row r="107" spans="1:12">
      <c r="A107" s="1257">
        <f>SUBTOTAL(103,$C$7:C107)</f>
        <v>101</v>
      </c>
      <c r="B107" s="1257"/>
      <c r="C107" s="1257" t="s">
        <v>308</v>
      </c>
      <c r="D107" s="1291" t="s">
        <v>79</v>
      </c>
      <c r="E107" s="1257" t="s">
        <v>50</v>
      </c>
      <c r="F107" s="1259" t="s">
        <v>255</v>
      </c>
      <c r="G107" s="1259" t="s">
        <v>255</v>
      </c>
      <c r="H107" s="1257" t="s">
        <v>255</v>
      </c>
      <c r="I107" s="1257" t="s">
        <v>1758</v>
      </c>
      <c r="J107" s="1257" t="s">
        <v>1758</v>
      </c>
      <c r="K107" s="1257"/>
      <c r="L107" s="1257"/>
    </row>
    <row r="108" spans="1:12">
      <c r="A108" s="1257">
        <f>SUBTOTAL(103,$C$7:C108)</f>
        <v>102</v>
      </c>
      <c r="B108" s="1257"/>
      <c r="C108" s="1257" t="s">
        <v>415</v>
      </c>
      <c r="D108" s="1291" t="s">
        <v>2</v>
      </c>
      <c r="E108" s="1257" t="s">
        <v>50</v>
      </c>
      <c r="F108" s="1259" t="s">
        <v>255</v>
      </c>
      <c r="G108" s="1259" t="s">
        <v>255</v>
      </c>
      <c r="H108" s="1257" t="s">
        <v>255</v>
      </c>
      <c r="I108" s="1257" t="s">
        <v>1758</v>
      </c>
      <c r="J108" s="1260" t="s">
        <v>1543</v>
      </c>
      <c r="K108" s="1257"/>
      <c r="L108" s="1257"/>
    </row>
    <row r="109" spans="1:12">
      <c r="A109" s="1257">
        <f>SUBTOTAL(103,$C$7:C109)</f>
        <v>103</v>
      </c>
      <c r="B109" s="1257"/>
      <c r="C109" s="1257" t="s">
        <v>416</v>
      </c>
      <c r="D109" s="1291" t="s">
        <v>2</v>
      </c>
      <c r="E109" s="1257" t="s">
        <v>50</v>
      </c>
      <c r="F109" s="1259" t="s">
        <v>255</v>
      </c>
      <c r="G109" s="1259" t="s">
        <v>255</v>
      </c>
      <c r="H109" s="1257" t="s">
        <v>255</v>
      </c>
      <c r="I109" s="1257" t="s">
        <v>1758</v>
      </c>
      <c r="J109" s="1257" t="s">
        <v>1758</v>
      </c>
      <c r="K109" s="1257"/>
      <c r="L109" s="1257"/>
    </row>
    <row r="110" spans="1:12">
      <c r="A110" s="1257">
        <f>SUBTOTAL(103,$C$7:C110)</f>
        <v>104</v>
      </c>
      <c r="B110" s="1257"/>
      <c r="C110" s="1257" t="s">
        <v>417</v>
      </c>
      <c r="D110" s="1291" t="s">
        <v>79</v>
      </c>
      <c r="E110" s="1257" t="s">
        <v>50</v>
      </c>
      <c r="F110" s="1259" t="s">
        <v>255</v>
      </c>
      <c r="G110" s="1259" t="s">
        <v>255</v>
      </c>
      <c r="H110" s="1257" t="s">
        <v>255</v>
      </c>
      <c r="I110" s="1257" t="s">
        <v>1758</v>
      </c>
      <c r="J110" s="1257" t="s">
        <v>1758</v>
      </c>
      <c r="K110" s="1257"/>
      <c r="L110" s="1257"/>
    </row>
    <row r="111" spans="1:12">
      <c r="A111" s="1257">
        <f>SUBTOTAL(103,$C$7:C111)</f>
        <v>105</v>
      </c>
      <c r="B111" s="1257"/>
      <c r="C111" s="1257" t="s">
        <v>418</v>
      </c>
      <c r="D111" s="1291" t="s">
        <v>2</v>
      </c>
      <c r="E111" s="1257" t="s">
        <v>50</v>
      </c>
      <c r="F111" s="1259" t="s">
        <v>255</v>
      </c>
      <c r="G111" s="1259" t="s">
        <v>255</v>
      </c>
      <c r="H111" s="1257" t="s">
        <v>255</v>
      </c>
      <c r="I111" s="1257" t="s">
        <v>1758</v>
      </c>
      <c r="J111" s="1257" t="s">
        <v>1758</v>
      </c>
      <c r="K111" s="1257"/>
      <c r="L111" s="1257"/>
    </row>
    <row r="112" spans="1:12">
      <c r="A112" s="1257">
        <f>SUBTOTAL(103,$C$7:C112)</f>
        <v>106</v>
      </c>
      <c r="B112" s="1257"/>
      <c r="C112" s="1257" t="s">
        <v>419</v>
      </c>
      <c r="D112" s="1291" t="s">
        <v>49</v>
      </c>
      <c r="E112" s="1257" t="s">
        <v>50</v>
      </c>
      <c r="F112" s="1259" t="s">
        <v>255</v>
      </c>
      <c r="G112" s="1259" t="s">
        <v>255</v>
      </c>
      <c r="H112" s="1257" t="s">
        <v>255</v>
      </c>
      <c r="I112" s="1257" t="s">
        <v>1758</v>
      </c>
      <c r="J112" s="1257" t="s">
        <v>1758</v>
      </c>
      <c r="K112" s="1257"/>
      <c r="L112" s="1257"/>
    </row>
    <row r="113" spans="1:12">
      <c r="A113" s="1257">
        <f>SUBTOTAL(103,$C$7:C113)</f>
        <v>107</v>
      </c>
      <c r="B113" s="1257"/>
      <c r="C113" s="1257" t="s">
        <v>420</v>
      </c>
      <c r="D113" s="1291" t="s">
        <v>3</v>
      </c>
      <c r="E113" s="1257" t="s">
        <v>50</v>
      </c>
      <c r="F113" s="1259" t="s">
        <v>255</v>
      </c>
      <c r="G113" s="1259" t="s">
        <v>255</v>
      </c>
      <c r="H113" s="1257" t="s">
        <v>255</v>
      </c>
      <c r="I113" s="1257" t="s">
        <v>1758</v>
      </c>
      <c r="J113" s="1257" t="s">
        <v>1758</v>
      </c>
      <c r="K113" s="1257"/>
      <c r="L113" s="1257"/>
    </row>
    <row r="114" spans="1:12">
      <c r="A114" s="1257">
        <f>SUBTOTAL(103,$C$7:C114)</f>
        <v>108</v>
      </c>
      <c r="B114" s="1257"/>
      <c r="C114" s="1257" t="s">
        <v>421</v>
      </c>
      <c r="D114" s="1291" t="s">
        <v>170</v>
      </c>
      <c r="E114" s="1257" t="s">
        <v>50</v>
      </c>
      <c r="F114" s="1259" t="s">
        <v>255</v>
      </c>
      <c r="G114" s="1259" t="s">
        <v>255</v>
      </c>
      <c r="H114" s="1257" t="s">
        <v>255</v>
      </c>
      <c r="I114" s="1257" t="s">
        <v>1758</v>
      </c>
      <c r="J114" s="1257" t="s">
        <v>1758</v>
      </c>
      <c r="K114" s="1257"/>
      <c r="L114" s="1257"/>
    </row>
    <row r="115" spans="1:12">
      <c r="A115" s="1257">
        <f>SUBTOTAL(103,$C$7:C115)</f>
        <v>109</v>
      </c>
      <c r="B115" s="1257"/>
      <c r="C115" s="1257" t="s">
        <v>422</v>
      </c>
      <c r="D115" s="1291" t="s">
        <v>3</v>
      </c>
      <c r="E115" s="1257" t="s">
        <v>50</v>
      </c>
      <c r="F115" s="1259" t="s">
        <v>255</v>
      </c>
      <c r="G115" s="1259" t="s">
        <v>255</v>
      </c>
      <c r="H115" s="1257" t="s">
        <v>255</v>
      </c>
      <c r="I115" s="1257" t="s">
        <v>1758</v>
      </c>
      <c r="J115" s="1257" t="s">
        <v>1758</v>
      </c>
      <c r="K115" s="1257"/>
      <c r="L115" s="1257"/>
    </row>
    <row r="116" spans="1:12">
      <c r="A116" s="1257">
        <f>SUBTOTAL(103,$C$7:C116)</f>
        <v>110</v>
      </c>
      <c r="B116" s="1257"/>
      <c r="C116" s="1257" t="s">
        <v>423</v>
      </c>
      <c r="D116" s="1291" t="s">
        <v>154</v>
      </c>
      <c r="E116" s="1257" t="s">
        <v>50</v>
      </c>
      <c r="F116" s="1259" t="s">
        <v>255</v>
      </c>
      <c r="G116" s="1259" t="s">
        <v>255</v>
      </c>
      <c r="H116" s="1257" t="s">
        <v>255</v>
      </c>
      <c r="I116" s="1257" t="s">
        <v>1758</v>
      </c>
      <c r="J116" s="1257" t="s">
        <v>1758</v>
      </c>
      <c r="K116" s="1257"/>
      <c r="L116" s="1257"/>
    </row>
    <row r="117" spans="1:12">
      <c r="A117" s="1257">
        <f>SUBTOTAL(103,$C$7:C117)</f>
        <v>111</v>
      </c>
      <c r="B117" s="1257"/>
      <c r="C117" s="1257" t="s">
        <v>424</v>
      </c>
      <c r="D117" s="1291" t="s">
        <v>3</v>
      </c>
      <c r="E117" s="1257" t="s">
        <v>50</v>
      </c>
      <c r="F117" s="1259" t="s">
        <v>255</v>
      </c>
      <c r="G117" s="1259" t="s">
        <v>255</v>
      </c>
      <c r="H117" s="1257" t="s">
        <v>255</v>
      </c>
      <c r="I117" s="1257" t="s">
        <v>1758</v>
      </c>
      <c r="J117" s="1262" t="s">
        <v>1758</v>
      </c>
      <c r="K117" s="1257"/>
      <c r="L117" s="1257"/>
    </row>
    <row r="118" spans="1:12">
      <c r="A118" s="1257">
        <f>SUBTOTAL(103,$C$7:C118)</f>
        <v>112</v>
      </c>
      <c r="B118" s="1257"/>
      <c r="C118" s="1257" t="s">
        <v>425</v>
      </c>
      <c r="D118" s="1291" t="s">
        <v>79</v>
      </c>
      <c r="E118" s="1257" t="s">
        <v>50</v>
      </c>
      <c r="F118" s="1259" t="s">
        <v>255</v>
      </c>
      <c r="G118" s="1259" t="s">
        <v>255</v>
      </c>
      <c r="H118" s="1257" t="s">
        <v>255</v>
      </c>
      <c r="I118" s="1257" t="s">
        <v>1758</v>
      </c>
      <c r="J118" s="1257" t="s">
        <v>1758</v>
      </c>
      <c r="K118" s="1257"/>
      <c r="L118" s="1257"/>
    </row>
    <row r="119" spans="1:12">
      <c r="A119" s="1257">
        <f>SUBTOTAL(103,$C$7:C119)</f>
        <v>113</v>
      </c>
      <c r="B119" s="1257" t="s">
        <v>553</v>
      </c>
      <c r="C119" s="1257" t="s">
        <v>12</v>
      </c>
      <c r="D119" s="1291" t="s">
        <v>173</v>
      </c>
      <c r="E119" s="1257" t="s">
        <v>50</v>
      </c>
      <c r="F119" s="1259" t="s">
        <v>255</v>
      </c>
      <c r="G119" s="1259" t="s">
        <v>255</v>
      </c>
      <c r="H119" s="1257"/>
      <c r="I119" s="1257"/>
      <c r="J119" s="1257" t="s">
        <v>311</v>
      </c>
      <c r="K119" s="1257"/>
      <c r="L119" s="1257"/>
    </row>
    <row r="120" spans="1:12">
      <c r="A120" s="1257">
        <f>SUBTOTAL(103,$C$7:C120)</f>
        <v>114</v>
      </c>
      <c r="B120" s="1257" t="s">
        <v>554</v>
      </c>
      <c r="C120" s="1257" t="s">
        <v>13</v>
      </c>
      <c r="D120" s="1291" t="s">
        <v>217</v>
      </c>
      <c r="E120" s="1257" t="s">
        <v>50</v>
      </c>
      <c r="F120" s="1259" t="s">
        <v>255</v>
      </c>
      <c r="G120" s="1259" t="s">
        <v>255</v>
      </c>
      <c r="H120" s="1257" t="s">
        <v>255</v>
      </c>
      <c r="I120" s="1257" t="s">
        <v>1758</v>
      </c>
      <c r="J120" s="1262" t="s">
        <v>1758</v>
      </c>
      <c r="K120" s="1257"/>
      <c r="L120" s="1257"/>
    </row>
    <row r="121" spans="1:12">
      <c r="A121" s="1257">
        <f>SUBTOTAL(103,$C$7:C121)</f>
        <v>115</v>
      </c>
      <c r="B121" s="1257" t="s">
        <v>555</v>
      </c>
      <c r="C121" s="1257" t="s">
        <v>51</v>
      </c>
      <c r="D121" s="1291" t="s">
        <v>229</v>
      </c>
      <c r="E121" s="1257" t="s">
        <v>50</v>
      </c>
      <c r="F121" s="1259" t="s">
        <v>255</v>
      </c>
      <c r="G121" s="1259" t="s">
        <v>255</v>
      </c>
      <c r="H121" s="1257" t="s">
        <v>255</v>
      </c>
      <c r="I121" s="1257" t="s">
        <v>1758</v>
      </c>
      <c r="J121" s="1257" t="s">
        <v>1758</v>
      </c>
      <c r="K121" s="1257" t="s">
        <v>311</v>
      </c>
      <c r="L121" s="1257"/>
    </row>
    <row r="122" spans="1:12">
      <c r="A122" s="1257">
        <f>SUBTOTAL(103,$C$7:C122)</f>
        <v>116</v>
      </c>
      <c r="B122" s="1257"/>
      <c r="C122" s="1257" t="s">
        <v>192</v>
      </c>
      <c r="D122" s="1291" t="s">
        <v>2</v>
      </c>
      <c r="E122" s="1257" t="s">
        <v>50</v>
      </c>
      <c r="F122" s="1259" t="s">
        <v>255</v>
      </c>
      <c r="G122" s="1259" t="s">
        <v>255</v>
      </c>
      <c r="H122" s="1257" t="s">
        <v>255</v>
      </c>
      <c r="I122" s="1257" t="s">
        <v>1758</v>
      </c>
      <c r="J122" s="1257" t="s">
        <v>1758</v>
      </c>
      <c r="K122" s="1257" t="s">
        <v>311</v>
      </c>
      <c r="L122" s="1257"/>
    </row>
    <row r="123" spans="1:12">
      <c r="A123" s="1257">
        <f>SUBTOTAL(103,$C$7:C123)</f>
        <v>117</v>
      </c>
      <c r="B123" s="1257"/>
      <c r="C123" s="1257" t="s">
        <v>193</v>
      </c>
      <c r="D123" s="1291" t="s">
        <v>170</v>
      </c>
      <c r="E123" s="1257" t="s">
        <v>50</v>
      </c>
      <c r="F123" s="1259" t="s">
        <v>255</v>
      </c>
      <c r="G123" s="1259" t="s">
        <v>255</v>
      </c>
      <c r="H123" s="1257" t="s">
        <v>255</v>
      </c>
      <c r="I123" s="1257" t="s">
        <v>1758</v>
      </c>
      <c r="J123" s="1257" t="s">
        <v>1758</v>
      </c>
      <c r="K123" s="1257" t="s">
        <v>311</v>
      </c>
      <c r="L123" s="1257"/>
    </row>
    <row r="124" spans="1:12">
      <c r="A124" s="1257">
        <f>SUBTOTAL(103,$C$7:C124)</f>
        <v>118</v>
      </c>
      <c r="B124" s="1257"/>
      <c r="C124" s="1257" t="s">
        <v>254</v>
      </c>
      <c r="D124" s="1291" t="s">
        <v>79</v>
      </c>
      <c r="E124" s="1257" t="s">
        <v>50</v>
      </c>
      <c r="F124" s="1259" t="s">
        <v>255</v>
      </c>
      <c r="G124" s="1259" t="s">
        <v>255</v>
      </c>
      <c r="H124" s="1257" t="s">
        <v>255</v>
      </c>
      <c r="I124" s="1257" t="s">
        <v>1758</v>
      </c>
      <c r="J124" s="1257" t="s">
        <v>1758</v>
      </c>
      <c r="K124" s="1257" t="s">
        <v>311</v>
      </c>
      <c r="L124" s="1257"/>
    </row>
    <row r="125" spans="1:12">
      <c r="A125" s="1257">
        <f>SUBTOTAL(103,$C$7:C125)</f>
        <v>119</v>
      </c>
      <c r="B125" s="1257"/>
      <c r="C125" s="1257" t="s">
        <v>253</v>
      </c>
      <c r="D125" s="1291" t="s">
        <v>4</v>
      </c>
      <c r="E125" s="1257" t="s">
        <v>50</v>
      </c>
      <c r="F125" s="1259" t="s">
        <v>255</v>
      </c>
      <c r="G125" s="1259" t="s">
        <v>255</v>
      </c>
      <c r="H125" s="1257" t="s">
        <v>255</v>
      </c>
      <c r="I125" s="1257" t="s">
        <v>1758</v>
      </c>
      <c r="J125" s="1257" t="s">
        <v>1758</v>
      </c>
      <c r="K125" s="1257" t="s">
        <v>311</v>
      </c>
      <c r="L125" s="1257"/>
    </row>
    <row r="126" spans="1:12">
      <c r="A126" s="1257">
        <f>SUBTOTAL(103,$C$7:C126)</f>
        <v>120</v>
      </c>
      <c r="B126" s="1257"/>
      <c r="C126" s="1257" t="s">
        <v>252</v>
      </c>
      <c r="D126" s="1291" t="s">
        <v>3</v>
      </c>
      <c r="E126" s="1257" t="s">
        <v>50</v>
      </c>
      <c r="F126" s="1259" t="s">
        <v>255</v>
      </c>
      <c r="G126" s="1259" t="s">
        <v>255</v>
      </c>
      <c r="H126" s="1257" t="s">
        <v>255</v>
      </c>
      <c r="I126" s="1257" t="s">
        <v>1758</v>
      </c>
      <c r="J126" s="1257" t="s">
        <v>1758</v>
      </c>
      <c r="K126" s="1257" t="s">
        <v>311</v>
      </c>
      <c r="L126" s="1257"/>
    </row>
    <row r="127" spans="1:12">
      <c r="A127" s="1257">
        <f>SUBTOTAL(103,$C$7:C127)</f>
        <v>121</v>
      </c>
      <c r="B127" s="1257"/>
      <c r="C127" s="1257" t="s">
        <v>251</v>
      </c>
      <c r="D127" s="1291" t="s">
        <v>49</v>
      </c>
      <c r="E127" s="1257" t="s">
        <v>50</v>
      </c>
      <c r="F127" s="1259" t="s">
        <v>255</v>
      </c>
      <c r="G127" s="1259" t="s">
        <v>255</v>
      </c>
      <c r="H127" s="1257" t="s">
        <v>255</v>
      </c>
      <c r="I127" s="1257" t="s">
        <v>1758</v>
      </c>
      <c r="J127" s="1257" t="s">
        <v>1758</v>
      </c>
      <c r="K127" s="1257" t="s">
        <v>311</v>
      </c>
      <c r="L127" s="1257"/>
    </row>
    <row r="128" spans="1:12">
      <c r="A128" s="1257">
        <f>SUBTOTAL(103,$C$7:C128)</f>
        <v>122</v>
      </c>
      <c r="B128" s="1257"/>
      <c r="C128" s="1257" t="s">
        <v>426</v>
      </c>
      <c r="D128" s="1291" t="s">
        <v>170</v>
      </c>
      <c r="E128" s="1257" t="s">
        <v>50</v>
      </c>
      <c r="F128" s="1259" t="s">
        <v>255</v>
      </c>
      <c r="G128" s="1259" t="s">
        <v>255</v>
      </c>
      <c r="H128" s="1257" t="s">
        <v>255</v>
      </c>
      <c r="I128" s="1257" t="s">
        <v>1758</v>
      </c>
      <c r="J128" s="1257" t="s">
        <v>1758</v>
      </c>
      <c r="K128" s="1257" t="s">
        <v>311</v>
      </c>
      <c r="L128" s="1257"/>
    </row>
    <row r="129" spans="1:12">
      <c r="A129" s="1257">
        <f>SUBTOTAL(103,$C$7:C129)</f>
        <v>123</v>
      </c>
      <c r="B129" s="1257" t="s">
        <v>556</v>
      </c>
      <c r="C129" s="1257" t="s">
        <v>52</v>
      </c>
      <c r="D129" s="1291" t="s">
        <v>213</v>
      </c>
      <c r="E129" s="1257" t="s">
        <v>50</v>
      </c>
      <c r="F129" s="1259" t="s">
        <v>255</v>
      </c>
      <c r="G129" s="1259" t="s">
        <v>255</v>
      </c>
      <c r="H129" s="1257" t="s">
        <v>255</v>
      </c>
      <c r="I129" s="1257" t="s">
        <v>1758</v>
      </c>
      <c r="J129" s="1257" t="s">
        <v>1758</v>
      </c>
      <c r="K129" s="1257" t="s">
        <v>311</v>
      </c>
      <c r="L129" s="1257"/>
    </row>
    <row r="130" spans="1:12">
      <c r="A130" s="1257">
        <f>SUBTOTAL(103,$C$7:C130)</f>
        <v>124</v>
      </c>
      <c r="B130" s="1257" t="s">
        <v>557</v>
      </c>
      <c r="C130" s="1257" t="s">
        <v>53</v>
      </c>
      <c r="D130" s="1291" t="s">
        <v>213</v>
      </c>
      <c r="E130" s="1257" t="s">
        <v>50</v>
      </c>
      <c r="F130" s="1259" t="s">
        <v>255</v>
      </c>
      <c r="G130" s="1259" t="s">
        <v>255</v>
      </c>
      <c r="H130" s="1257" t="s">
        <v>255</v>
      </c>
      <c r="I130" s="1257" t="s">
        <v>1758</v>
      </c>
      <c r="J130" s="1262" t="s">
        <v>1758</v>
      </c>
      <c r="K130" s="1257"/>
      <c r="L130" s="1257"/>
    </row>
    <row r="131" spans="1:12">
      <c r="A131" s="1257">
        <f>SUBTOTAL(103,$C$7:C131)</f>
        <v>125</v>
      </c>
      <c r="B131" s="1257"/>
      <c r="C131" s="1257" t="s">
        <v>174</v>
      </c>
      <c r="D131" s="1291" t="s">
        <v>4</v>
      </c>
      <c r="E131" s="1257" t="s">
        <v>50</v>
      </c>
      <c r="F131" s="1259" t="s">
        <v>255</v>
      </c>
      <c r="G131" s="1259" t="s">
        <v>255</v>
      </c>
      <c r="H131" s="1257" t="s">
        <v>255</v>
      </c>
      <c r="I131" s="1257" t="s">
        <v>1758</v>
      </c>
      <c r="J131" s="1262" t="s">
        <v>1758</v>
      </c>
      <c r="K131" s="1257"/>
      <c r="L131" s="1257"/>
    </row>
    <row r="132" spans="1:12">
      <c r="A132" s="1257">
        <f>SUBTOTAL(103,$C$7:C132)</f>
        <v>126</v>
      </c>
      <c r="B132" s="1257"/>
      <c r="C132" s="1257" t="s">
        <v>175</v>
      </c>
      <c r="D132" s="1291" t="s">
        <v>4</v>
      </c>
      <c r="E132" s="1257" t="s">
        <v>50</v>
      </c>
      <c r="F132" s="1259" t="s">
        <v>255</v>
      </c>
      <c r="G132" s="1259" t="s">
        <v>255</v>
      </c>
      <c r="H132" s="1257" t="s">
        <v>255</v>
      </c>
      <c r="I132" s="1257" t="s">
        <v>1758</v>
      </c>
      <c r="J132" s="1262" t="s">
        <v>1758</v>
      </c>
      <c r="K132" s="1257"/>
      <c r="L132" s="1257"/>
    </row>
    <row r="133" spans="1:12">
      <c r="A133" s="1257">
        <f>SUBTOTAL(103,$C$7:C133)</f>
        <v>127</v>
      </c>
      <c r="B133" s="1257"/>
      <c r="C133" s="1257" t="s">
        <v>176</v>
      </c>
      <c r="D133" s="1291" t="s">
        <v>170</v>
      </c>
      <c r="E133" s="1257" t="s">
        <v>50</v>
      </c>
      <c r="F133" s="1259" t="s">
        <v>255</v>
      </c>
      <c r="G133" s="1259" t="s">
        <v>255</v>
      </c>
      <c r="H133" s="1257" t="s">
        <v>255</v>
      </c>
      <c r="I133" s="1257" t="s">
        <v>1758</v>
      </c>
      <c r="J133" s="1262" t="s">
        <v>1758</v>
      </c>
      <c r="K133" s="1257"/>
      <c r="L133" s="1257"/>
    </row>
    <row r="134" spans="1:12">
      <c r="A134" s="1257">
        <f>SUBTOTAL(103,$C$7:C134)</f>
        <v>128</v>
      </c>
      <c r="B134" s="1257"/>
      <c r="C134" s="1257" t="s">
        <v>177</v>
      </c>
      <c r="D134" s="1291" t="s">
        <v>2</v>
      </c>
      <c r="E134" s="1257" t="s">
        <v>50</v>
      </c>
      <c r="F134" s="1259" t="s">
        <v>255</v>
      </c>
      <c r="G134" s="1259" t="s">
        <v>255</v>
      </c>
      <c r="H134" s="1257" t="s">
        <v>255</v>
      </c>
      <c r="I134" s="1257"/>
      <c r="J134" s="1260" t="s">
        <v>1543</v>
      </c>
      <c r="K134" s="1257"/>
      <c r="L134" s="1257"/>
    </row>
    <row r="135" spans="1:12">
      <c r="A135" s="1257">
        <f>SUBTOTAL(103,$C$7:C135)</f>
        <v>129</v>
      </c>
      <c r="B135" s="1257"/>
      <c r="C135" s="1257" t="s">
        <v>427</v>
      </c>
      <c r="D135" s="1291" t="s">
        <v>3</v>
      </c>
      <c r="E135" s="1257" t="s">
        <v>50</v>
      </c>
      <c r="F135" s="1259" t="s">
        <v>255</v>
      </c>
      <c r="G135" s="1259" t="s">
        <v>255</v>
      </c>
      <c r="H135" s="1257" t="s">
        <v>255</v>
      </c>
      <c r="I135" s="1257"/>
      <c r="J135" s="1260" t="s">
        <v>1543</v>
      </c>
      <c r="K135" s="1257"/>
      <c r="L135" s="1257"/>
    </row>
    <row r="136" spans="1:12">
      <c r="A136" s="1257">
        <f>SUBTOTAL(103,$C$7:C136)</f>
        <v>130</v>
      </c>
      <c r="B136" s="1257"/>
      <c r="C136" s="1257" t="s">
        <v>428</v>
      </c>
      <c r="D136" s="1291" t="s">
        <v>4</v>
      </c>
      <c r="E136" s="1257" t="s">
        <v>50</v>
      </c>
      <c r="F136" s="1259" t="s">
        <v>255</v>
      </c>
      <c r="G136" s="1259" t="s">
        <v>255</v>
      </c>
      <c r="H136" s="1257" t="s">
        <v>255</v>
      </c>
      <c r="I136" s="1257"/>
      <c r="J136" s="1260" t="s">
        <v>1543</v>
      </c>
      <c r="K136" s="1257"/>
      <c r="L136" s="1257"/>
    </row>
    <row r="137" spans="1:12">
      <c r="A137" s="1257">
        <f>SUBTOTAL(103,$C$7:C137)</f>
        <v>131</v>
      </c>
      <c r="B137" s="1257" t="s">
        <v>558</v>
      </c>
      <c r="C137" s="1257" t="s">
        <v>54</v>
      </c>
      <c r="D137" s="1291" t="s">
        <v>197</v>
      </c>
      <c r="E137" s="1257" t="s">
        <v>50</v>
      </c>
      <c r="F137" s="1259" t="s">
        <v>255</v>
      </c>
      <c r="G137" s="1259" t="s">
        <v>255</v>
      </c>
      <c r="H137" s="1257" t="s">
        <v>255</v>
      </c>
      <c r="I137" s="1257" t="s">
        <v>1758</v>
      </c>
      <c r="J137" s="1262" t="s">
        <v>1758</v>
      </c>
      <c r="K137" s="1257"/>
      <c r="L137" s="1257"/>
    </row>
    <row r="138" spans="1:12">
      <c r="A138" s="1257">
        <f>SUBTOTAL(103,$C$7:C138)</f>
        <v>132</v>
      </c>
      <c r="B138" s="1257"/>
      <c r="C138" s="1257" t="s">
        <v>179</v>
      </c>
      <c r="D138" s="1291" t="s">
        <v>3</v>
      </c>
      <c r="E138" s="1257" t="s">
        <v>50</v>
      </c>
      <c r="F138" s="1259" t="s">
        <v>255</v>
      </c>
      <c r="G138" s="1259" t="s">
        <v>255</v>
      </c>
      <c r="H138" s="1257" t="s">
        <v>255</v>
      </c>
      <c r="I138" s="1257" t="s">
        <v>1758</v>
      </c>
      <c r="J138" s="1262" t="s">
        <v>1758</v>
      </c>
      <c r="K138" s="1257"/>
      <c r="L138" s="1257"/>
    </row>
    <row r="139" spans="1:12">
      <c r="A139" s="1257">
        <f>SUBTOTAL(103,$C$7:C139)</f>
        <v>133</v>
      </c>
      <c r="B139" s="1257"/>
      <c r="C139" s="1257" t="s">
        <v>180</v>
      </c>
      <c r="D139" s="1291" t="s">
        <v>79</v>
      </c>
      <c r="E139" s="1257" t="s">
        <v>50</v>
      </c>
      <c r="F139" s="1259" t="s">
        <v>255</v>
      </c>
      <c r="G139" s="1259" t="s">
        <v>255</v>
      </c>
      <c r="H139" s="1257" t="s">
        <v>255</v>
      </c>
      <c r="I139" s="1257" t="s">
        <v>1758</v>
      </c>
      <c r="J139" s="1262" t="s">
        <v>1758</v>
      </c>
      <c r="K139" s="1257"/>
      <c r="L139" s="1257"/>
    </row>
    <row r="140" spans="1:12">
      <c r="A140" s="1257">
        <f>SUBTOTAL(103,$C$7:C140)</f>
        <v>134</v>
      </c>
      <c r="B140" s="1257"/>
      <c r="C140" s="1257" t="s">
        <v>181</v>
      </c>
      <c r="D140" s="1291" t="s">
        <v>79</v>
      </c>
      <c r="E140" s="1257" t="s">
        <v>50</v>
      </c>
      <c r="F140" s="1259" t="s">
        <v>255</v>
      </c>
      <c r="G140" s="1259" t="s">
        <v>255</v>
      </c>
      <c r="H140" s="1257" t="s">
        <v>255</v>
      </c>
      <c r="I140" s="1257" t="s">
        <v>1758</v>
      </c>
      <c r="J140" s="1262" t="s">
        <v>1758</v>
      </c>
      <c r="K140" s="1257"/>
      <c r="L140" s="1257"/>
    </row>
    <row r="141" spans="1:12">
      <c r="A141" s="1257">
        <f>SUBTOTAL(103,$C$7:C141)</f>
        <v>135</v>
      </c>
      <c r="B141" s="1257"/>
      <c r="C141" s="1257" t="s">
        <v>182</v>
      </c>
      <c r="D141" s="1291" t="s">
        <v>3</v>
      </c>
      <c r="E141" s="1257" t="s">
        <v>50</v>
      </c>
      <c r="F141" s="1259" t="s">
        <v>255</v>
      </c>
      <c r="G141" s="1259" t="s">
        <v>255</v>
      </c>
      <c r="H141" s="1257" t="s">
        <v>255</v>
      </c>
      <c r="I141" s="1257" t="s">
        <v>1758</v>
      </c>
      <c r="J141" s="1262" t="s">
        <v>1758</v>
      </c>
      <c r="K141" s="1257"/>
      <c r="L141" s="1257"/>
    </row>
    <row r="142" spans="1:12">
      <c r="A142" s="1257">
        <f>SUBTOTAL(103,$C$7:C142)</f>
        <v>136</v>
      </c>
      <c r="B142" s="1257"/>
      <c r="C142" s="1257" t="s">
        <v>429</v>
      </c>
      <c r="D142" s="1291" t="s">
        <v>3</v>
      </c>
      <c r="E142" s="1257" t="s">
        <v>50</v>
      </c>
      <c r="F142" s="1259" t="s">
        <v>255</v>
      </c>
      <c r="G142" s="1259" t="s">
        <v>255</v>
      </c>
      <c r="H142" s="1257" t="s">
        <v>255</v>
      </c>
      <c r="I142" s="1257" t="s">
        <v>1758</v>
      </c>
      <c r="J142" s="1262" t="s">
        <v>1758</v>
      </c>
      <c r="K142" s="1257"/>
      <c r="L142" s="1257"/>
    </row>
    <row r="143" spans="1:12">
      <c r="A143" s="1257">
        <f>SUBTOTAL(103,$C$7:C143)</f>
        <v>137</v>
      </c>
      <c r="B143" s="1257" t="s">
        <v>559</v>
      </c>
      <c r="C143" s="1257" t="s">
        <v>55</v>
      </c>
      <c r="D143" s="1291" t="s">
        <v>430</v>
      </c>
      <c r="E143" s="1257" t="s">
        <v>50</v>
      </c>
      <c r="F143" s="1259" t="s">
        <v>255</v>
      </c>
      <c r="G143" s="1259" t="s">
        <v>255</v>
      </c>
      <c r="H143" s="1257" t="s">
        <v>255</v>
      </c>
      <c r="I143" s="1257" t="s">
        <v>1758</v>
      </c>
      <c r="J143" s="1257" t="s">
        <v>1758</v>
      </c>
      <c r="K143" s="1257"/>
      <c r="L143" s="1257"/>
    </row>
    <row r="144" spans="1:12">
      <c r="A144" s="1257">
        <f>SUBTOTAL(103,$C$7:C144)</f>
        <v>138</v>
      </c>
      <c r="B144" s="1257" t="s">
        <v>560</v>
      </c>
      <c r="C144" s="1257" t="s">
        <v>56</v>
      </c>
      <c r="D144" s="1291" t="s">
        <v>215</v>
      </c>
      <c r="E144" s="1257" t="s">
        <v>50</v>
      </c>
      <c r="F144" s="1259" t="s">
        <v>255</v>
      </c>
      <c r="G144" s="1259" t="s">
        <v>255</v>
      </c>
      <c r="H144" s="1257" t="s">
        <v>255</v>
      </c>
      <c r="I144" s="1257" t="s">
        <v>1758</v>
      </c>
      <c r="J144" s="1257" t="s">
        <v>1758</v>
      </c>
      <c r="K144" s="1257"/>
      <c r="L144" s="1257"/>
    </row>
    <row r="145" spans="1:12">
      <c r="A145" s="1257">
        <f>SUBTOTAL(103,$C$7:C145)</f>
        <v>139</v>
      </c>
      <c r="B145" s="1257" t="s">
        <v>675</v>
      </c>
      <c r="C145" s="1257" t="s">
        <v>676</v>
      </c>
      <c r="D145" s="1291" t="s">
        <v>211</v>
      </c>
      <c r="E145" s="1257" t="s">
        <v>50</v>
      </c>
      <c r="F145" s="1259" t="s">
        <v>255</v>
      </c>
      <c r="G145" s="1259" t="s">
        <v>255</v>
      </c>
      <c r="H145" s="1257" t="s">
        <v>255</v>
      </c>
      <c r="I145" s="1257" t="s">
        <v>1758</v>
      </c>
      <c r="J145" s="1257" t="s">
        <v>1758</v>
      </c>
      <c r="K145" s="1257" t="s">
        <v>311</v>
      </c>
      <c r="L145" s="1257"/>
    </row>
    <row r="146" spans="1:12">
      <c r="A146" s="1257">
        <f>SUBTOTAL(103,$C$7:C146)</f>
        <v>140</v>
      </c>
      <c r="B146" s="1257" t="s">
        <v>561</v>
      </c>
      <c r="C146" s="1257" t="s">
        <v>57</v>
      </c>
      <c r="D146" s="1291" t="s">
        <v>186</v>
      </c>
      <c r="E146" s="1257" t="s">
        <v>50</v>
      </c>
      <c r="F146" s="1259" t="s">
        <v>255</v>
      </c>
      <c r="G146" s="1259" t="s">
        <v>255</v>
      </c>
      <c r="H146" s="1257" t="s">
        <v>255</v>
      </c>
      <c r="I146" s="1257" t="s">
        <v>1758</v>
      </c>
      <c r="J146" s="1262" t="s">
        <v>1758</v>
      </c>
      <c r="K146" s="1257" t="s">
        <v>311</v>
      </c>
      <c r="L146" s="1257"/>
    </row>
    <row r="147" spans="1:12">
      <c r="A147" s="1257">
        <f>SUBTOTAL(103,$C$7:C147)</f>
        <v>141</v>
      </c>
      <c r="B147" s="1257" t="s">
        <v>562</v>
      </c>
      <c r="C147" s="1257" t="s">
        <v>58</v>
      </c>
      <c r="D147" s="1291" t="s">
        <v>186</v>
      </c>
      <c r="E147" s="1257" t="s">
        <v>50</v>
      </c>
      <c r="F147" s="1259" t="s">
        <v>255</v>
      </c>
      <c r="G147" s="1259" t="s">
        <v>255</v>
      </c>
      <c r="H147" s="1257" t="s">
        <v>255</v>
      </c>
      <c r="I147" s="1257"/>
      <c r="J147" s="1262" t="s">
        <v>1758</v>
      </c>
      <c r="K147" s="1257" t="s">
        <v>311</v>
      </c>
      <c r="L147" s="1257"/>
    </row>
    <row r="148" spans="1:12">
      <c r="A148" s="1257">
        <f>SUBTOTAL(103,$C$7:C148)</f>
        <v>142</v>
      </c>
      <c r="B148" s="1257" t="s">
        <v>563</v>
      </c>
      <c r="C148" s="1257" t="s">
        <v>59</v>
      </c>
      <c r="D148" s="1291" t="s">
        <v>431</v>
      </c>
      <c r="E148" s="1257" t="s">
        <v>50</v>
      </c>
      <c r="F148" s="1259" t="s">
        <v>255</v>
      </c>
      <c r="G148" s="1259" t="s">
        <v>255</v>
      </c>
      <c r="H148" s="1257" t="s">
        <v>255</v>
      </c>
      <c r="I148" s="1257" t="s">
        <v>1758</v>
      </c>
      <c r="J148" s="1257" t="s">
        <v>1758</v>
      </c>
      <c r="K148" s="1257"/>
      <c r="L148" s="1257"/>
    </row>
    <row r="149" spans="1:12">
      <c r="A149" s="1257">
        <f>SUBTOTAL(103,$C$7:C149)</f>
        <v>143</v>
      </c>
      <c r="B149" s="1257" t="s">
        <v>564</v>
      </c>
      <c r="C149" s="1257" t="s">
        <v>60</v>
      </c>
      <c r="D149" s="1291" t="s">
        <v>431</v>
      </c>
      <c r="E149" s="1257" t="s">
        <v>50</v>
      </c>
      <c r="F149" s="1259" t="s">
        <v>255</v>
      </c>
      <c r="G149" s="1259" t="s">
        <v>255</v>
      </c>
      <c r="H149" s="1257" t="s">
        <v>255</v>
      </c>
      <c r="I149" s="1257" t="s">
        <v>1758</v>
      </c>
      <c r="J149" s="1262" t="s">
        <v>1758</v>
      </c>
      <c r="K149" s="1257" t="s">
        <v>1758</v>
      </c>
      <c r="L149" s="1257"/>
    </row>
    <row r="150" spans="1:12">
      <c r="A150" s="1257">
        <f>SUBTOTAL(103,$C$7:C150)</f>
        <v>144</v>
      </c>
      <c r="B150" s="1257"/>
      <c r="C150" s="1257" t="s">
        <v>61</v>
      </c>
      <c r="D150" s="1291" t="s">
        <v>49</v>
      </c>
      <c r="E150" s="1257" t="s">
        <v>50</v>
      </c>
      <c r="F150" s="1259" t="s">
        <v>255</v>
      </c>
      <c r="G150" s="1259" t="s">
        <v>255</v>
      </c>
      <c r="H150" s="1257" t="s">
        <v>255</v>
      </c>
      <c r="I150" s="1257" t="s">
        <v>1758</v>
      </c>
      <c r="J150" s="1262" t="s">
        <v>1758</v>
      </c>
      <c r="K150" s="1257" t="s">
        <v>1758</v>
      </c>
      <c r="L150" s="1257"/>
    </row>
    <row r="151" spans="1:12">
      <c r="A151" s="1257">
        <f>SUBTOTAL(103,$C$7:C151)</f>
        <v>145</v>
      </c>
      <c r="B151" s="1261"/>
      <c r="C151" s="1257" t="s">
        <v>62</v>
      </c>
      <c r="D151" s="1291" t="s">
        <v>154</v>
      </c>
      <c r="E151" s="1257" t="s">
        <v>50</v>
      </c>
      <c r="F151" s="1259" t="s">
        <v>255</v>
      </c>
      <c r="G151" s="1259" t="s">
        <v>255</v>
      </c>
      <c r="H151" s="1257" t="s">
        <v>255</v>
      </c>
      <c r="I151" s="1257" t="s">
        <v>1758</v>
      </c>
      <c r="J151" s="1262" t="s">
        <v>1758</v>
      </c>
      <c r="K151" s="1257" t="s">
        <v>1758</v>
      </c>
      <c r="L151" s="1257"/>
    </row>
    <row r="152" spans="1:12">
      <c r="A152" s="1257">
        <f>SUBTOTAL(103,$C$7:C152)</f>
        <v>146</v>
      </c>
      <c r="B152" s="1257"/>
      <c r="C152" s="1257" t="s">
        <v>153</v>
      </c>
      <c r="D152" s="1291" t="s">
        <v>170</v>
      </c>
      <c r="E152" s="1257" t="s">
        <v>50</v>
      </c>
      <c r="F152" s="1259" t="s">
        <v>255</v>
      </c>
      <c r="G152" s="1259" t="s">
        <v>255</v>
      </c>
      <c r="H152" s="1257" t="s">
        <v>255</v>
      </c>
      <c r="I152" s="1257" t="s">
        <v>1758</v>
      </c>
      <c r="J152" s="1262" t="s">
        <v>1758</v>
      </c>
      <c r="K152" s="1257" t="s">
        <v>1758</v>
      </c>
      <c r="L152" s="1257"/>
    </row>
    <row r="153" spans="1:12">
      <c r="A153" s="1257">
        <f>SUBTOTAL(103,$C$7:C153)</f>
        <v>147</v>
      </c>
      <c r="B153" s="1257"/>
      <c r="C153" s="1257" t="s">
        <v>155</v>
      </c>
      <c r="D153" s="1291" t="s">
        <v>170</v>
      </c>
      <c r="E153" s="1257" t="s">
        <v>50</v>
      </c>
      <c r="F153" s="1259" t="s">
        <v>255</v>
      </c>
      <c r="G153" s="1259" t="s">
        <v>255</v>
      </c>
      <c r="H153" s="1257" t="s">
        <v>255</v>
      </c>
      <c r="I153" s="1257" t="s">
        <v>1758</v>
      </c>
      <c r="J153" s="1262" t="s">
        <v>1758</v>
      </c>
      <c r="K153" s="1257" t="s">
        <v>1758</v>
      </c>
      <c r="L153" s="1257"/>
    </row>
    <row r="154" spans="1:12">
      <c r="A154" s="1257">
        <f>SUBTOTAL(103,$C$7:C154)</f>
        <v>148</v>
      </c>
      <c r="B154" s="1257"/>
      <c r="C154" s="1257" t="s">
        <v>156</v>
      </c>
      <c r="D154" s="1291" t="s">
        <v>154</v>
      </c>
      <c r="E154" s="1257" t="s">
        <v>50</v>
      </c>
      <c r="F154" s="1259" t="s">
        <v>255</v>
      </c>
      <c r="G154" s="1259" t="s">
        <v>255</v>
      </c>
      <c r="H154" s="1257" t="s">
        <v>255</v>
      </c>
      <c r="I154" s="1257" t="s">
        <v>1758</v>
      </c>
      <c r="J154" s="1262" t="s">
        <v>1758</v>
      </c>
      <c r="K154" s="1257" t="s">
        <v>1758</v>
      </c>
      <c r="L154" s="1257"/>
    </row>
    <row r="155" spans="1:12">
      <c r="A155" s="1257">
        <f>SUBTOTAL(103,$C$7:C155)</f>
        <v>149</v>
      </c>
      <c r="B155" s="1257"/>
      <c r="C155" s="1257" t="s">
        <v>162</v>
      </c>
      <c r="D155" s="1291" t="s">
        <v>4</v>
      </c>
      <c r="E155" s="1257" t="s">
        <v>50</v>
      </c>
      <c r="F155" s="1259" t="s">
        <v>255</v>
      </c>
      <c r="G155" s="1259" t="s">
        <v>255</v>
      </c>
      <c r="H155" s="1257" t="s">
        <v>255</v>
      </c>
      <c r="I155" s="1257" t="s">
        <v>1758</v>
      </c>
      <c r="J155" s="1262" t="s">
        <v>1758</v>
      </c>
      <c r="K155" s="1257" t="s">
        <v>1758</v>
      </c>
      <c r="L155" s="1257"/>
    </row>
    <row r="156" spans="1:12">
      <c r="A156" s="1257">
        <f>SUBTOTAL(103,$C$7:C156)</f>
        <v>150</v>
      </c>
      <c r="B156" s="1257" t="s">
        <v>565</v>
      </c>
      <c r="C156" s="1257" t="s">
        <v>63</v>
      </c>
      <c r="D156" s="1291" t="s">
        <v>250</v>
      </c>
      <c r="E156" s="1257" t="s">
        <v>50</v>
      </c>
      <c r="F156" s="1259" t="s">
        <v>255</v>
      </c>
      <c r="G156" s="1259" t="s">
        <v>255</v>
      </c>
      <c r="H156" s="1257" t="s">
        <v>255</v>
      </c>
      <c r="I156" s="1257" t="s">
        <v>1758</v>
      </c>
      <c r="J156" s="1257" t="s">
        <v>1758</v>
      </c>
      <c r="K156" s="1257" t="s">
        <v>1758</v>
      </c>
      <c r="L156" s="1257"/>
    </row>
    <row r="157" spans="1:12">
      <c r="A157" s="1257">
        <f>SUBTOTAL(103,$C$7:C157)</f>
        <v>151</v>
      </c>
      <c r="B157" s="1257" t="s">
        <v>566</v>
      </c>
      <c r="C157" s="1257" t="s">
        <v>64</v>
      </c>
      <c r="D157" s="1291" t="s">
        <v>185</v>
      </c>
      <c r="E157" s="1257" t="s">
        <v>50</v>
      </c>
      <c r="F157" s="1259" t="s">
        <v>255</v>
      </c>
      <c r="G157" s="1259" t="s">
        <v>255</v>
      </c>
      <c r="H157" s="1257" t="s">
        <v>255</v>
      </c>
      <c r="I157" s="1257" t="s">
        <v>1758</v>
      </c>
      <c r="J157" s="1257" t="s">
        <v>1758</v>
      </c>
      <c r="K157" s="1257" t="s">
        <v>1758</v>
      </c>
      <c r="L157" s="1257"/>
    </row>
    <row r="158" spans="1:12">
      <c r="A158" s="1257">
        <f>SUBTOTAL(103,$C$7:C158)</f>
        <v>152</v>
      </c>
      <c r="B158" s="1257"/>
      <c r="C158" s="1257" t="s">
        <v>432</v>
      </c>
      <c r="D158" s="1291" t="s">
        <v>79</v>
      </c>
      <c r="E158" s="1257" t="s">
        <v>50</v>
      </c>
      <c r="F158" s="1259" t="s">
        <v>255</v>
      </c>
      <c r="G158" s="1259" t="s">
        <v>255</v>
      </c>
      <c r="H158" s="1257" t="s">
        <v>255</v>
      </c>
      <c r="I158" s="1257" t="s">
        <v>1758</v>
      </c>
      <c r="J158" s="1257" t="s">
        <v>1758</v>
      </c>
      <c r="K158" s="1257" t="s">
        <v>1758</v>
      </c>
      <c r="L158" s="1257"/>
    </row>
    <row r="159" spans="1:12">
      <c r="A159" s="1257">
        <f>SUBTOTAL(103,$C$7:C159)</f>
        <v>153</v>
      </c>
      <c r="B159" s="1257"/>
      <c r="C159" s="1257" t="s">
        <v>433</v>
      </c>
      <c r="D159" s="1291" t="s">
        <v>3</v>
      </c>
      <c r="E159" s="1257" t="s">
        <v>50</v>
      </c>
      <c r="F159" s="1259" t="s">
        <v>255</v>
      </c>
      <c r="G159" s="1259" t="s">
        <v>255</v>
      </c>
      <c r="H159" s="1257" t="s">
        <v>255</v>
      </c>
      <c r="I159" s="1257" t="s">
        <v>1758</v>
      </c>
      <c r="J159" s="1257" t="s">
        <v>1758</v>
      </c>
      <c r="K159" s="1257" t="s">
        <v>1758</v>
      </c>
      <c r="L159" s="1257"/>
    </row>
    <row r="160" spans="1:12">
      <c r="A160" s="1257">
        <f>SUBTOTAL(103,$C$7:C160)</f>
        <v>154</v>
      </c>
      <c r="B160" s="1257"/>
      <c r="C160" s="1257" t="s">
        <v>434</v>
      </c>
      <c r="D160" s="1291" t="s">
        <v>3</v>
      </c>
      <c r="E160" s="1257" t="s">
        <v>50</v>
      </c>
      <c r="F160" s="1259" t="s">
        <v>255</v>
      </c>
      <c r="G160" s="1259" t="s">
        <v>255</v>
      </c>
      <c r="H160" s="1257" t="s">
        <v>255</v>
      </c>
      <c r="I160" s="1257" t="s">
        <v>1758</v>
      </c>
      <c r="J160" s="1257" t="s">
        <v>1758</v>
      </c>
      <c r="K160" s="1257" t="s">
        <v>1758</v>
      </c>
      <c r="L160" s="1257"/>
    </row>
    <row r="161" spans="1:12">
      <c r="A161" s="1257">
        <f>SUBTOTAL(103,$C$7:C161)</f>
        <v>155</v>
      </c>
      <c r="B161" s="1257"/>
      <c r="C161" s="1257" t="s">
        <v>435</v>
      </c>
      <c r="D161" s="1291" t="s">
        <v>2</v>
      </c>
      <c r="E161" s="1257" t="s">
        <v>50</v>
      </c>
      <c r="F161" s="1259" t="s">
        <v>255</v>
      </c>
      <c r="G161" s="1259" t="s">
        <v>255</v>
      </c>
      <c r="H161" s="1257" t="s">
        <v>255</v>
      </c>
      <c r="I161" s="1257" t="s">
        <v>1758</v>
      </c>
      <c r="J161" s="1257" t="s">
        <v>1758</v>
      </c>
      <c r="K161" s="1257" t="s">
        <v>1758</v>
      </c>
      <c r="L161" s="1257"/>
    </row>
    <row r="162" spans="1:12">
      <c r="A162" s="1257">
        <f>SUBTOTAL(103,$C$7:C162)</f>
        <v>156</v>
      </c>
      <c r="B162" s="1257"/>
      <c r="C162" s="1257" t="s">
        <v>436</v>
      </c>
      <c r="D162" s="1291" t="s">
        <v>3</v>
      </c>
      <c r="E162" s="1257" t="s">
        <v>50</v>
      </c>
      <c r="F162" s="1259" t="s">
        <v>255</v>
      </c>
      <c r="G162" s="1259" t="s">
        <v>255</v>
      </c>
      <c r="H162" s="1257" t="s">
        <v>255</v>
      </c>
      <c r="I162" s="1257" t="s">
        <v>1758</v>
      </c>
      <c r="J162" s="1257" t="s">
        <v>1758</v>
      </c>
      <c r="K162" s="1257" t="s">
        <v>1758</v>
      </c>
      <c r="L162" s="1257"/>
    </row>
    <row r="163" spans="1:12">
      <c r="A163" s="1257">
        <f>SUBTOTAL(103,$C$7:C163)</f>
        <v>157</v>
      </c>
      <c r="B163" s="1257" t="s">
        <v>899</v>
      </c>
      <c r="C163" s="1257" t="s">
        <v>900</v>
      </c>
      <c r="D163" s="1291" t="s">
        <v>197</v>
      </c>
      <c r="E163" s="1257" t="s">
        <v>50</v>
      </c>
      <c r="F163" s="1259" t="s">
        <v>255</v>
      </c>
      <c r="G163" s="1259" t="s">
        <v>255</v>
      </c>
      <c r="H163" s="1257" t="s">
        <v>255</v>
      </c>
      <c r="I163" s="1257" t="s">
        <v>1758</v>
      </c>
      <c r="J163" s="1257" t="s">
        <v>1758</v>
      </c>
      <c r="K163" s="1257" t="s">
        <v>1758</v>
      </c>
      <c r="L163" s="1257"/>
    </row>
    <row r="164" spans="1:12">
      <c r="A164" s="1257">
        <f>SUBTOTAL(103,$C$7:C164)</f>
        <v>158</v>
      </c>
      <c r="B164" s="1257"/>
      <c r="C164" s="1257" t="s">
        <v>901</v>
      </c>
      <c r="D164" s="1291" t="s">
        <v>79</v>
      </c>
      <c r="E164" s="1257" t="s">
        <v>50</v>
      </c>
      <c r="F164" s="1259" t="s">
        <v>255</v>
      </c>
      <c r="G164" s="1259" t="s">
        <v>255</v>
      </c>
      <c r="H164" s="1257" t="s">
        <v>255</v>
      </c>
      <c r="I164" s="1257" t="s">
        <v>1758</v>
      </c>
      <c r="J164" s="1257" t="s">
        <v>1758</v>
      </c>
      <c r="K164" s="1257" t="s">
        <v>1758</v>
      </c>
      <c r="L164" s="1257"/>
    </row>
    <row r="165" spans="1:12">
      <c r="A165" s="1257">
        <f>SUBTOTAL(103,$C$7:C165)</f>
        <v>159</v>
      </c>
      <c r="B165" s="1257"/>
      <c r="C165" s="1257" t="s">
        <v>902</v>
      </c>
      <c r="D165" s="1291" t="s">
        <v>79</v>
      </c>
      <c r="E165" s="1257" t="s">
        <v>50</v>
      </c>
      <c r="F165" s="1259" t="s">
        <v>255</v>
      </c>
      <c r="G165" s="1259" t="s">
        <v>255</v>
      </c>
      <c r="H165" s="1257" t="s">
        <v>255</v>
      </c>
      <c r="I165" s="1257" t="s">
        <v>1758</v>
      </c>
      <c r="J165" s="1257" t="s">
        <v>1758</v>
      </c>
      <c r="K165" s="1257" t="s">
        <v>1758</v>
      </c>
      <c r="L165" s="1257"/>
    </row>
    <row r="166" spans="1:12">
      <c r="A166" s="1257">
        <f>SUBTOTAL(103,$C$7:C166)</f>
        <v>160</v>
      </c>
      <c r="B166" s="1257"/>
      <c r="C166" s="1257" t="s">
        <v>903</v>
      </c>
      <c r="D166" s="1291" t="s">
        <v>79</v>
      </c>
      <c r="E166" s="1257" t="s">
        <v>50</v>
      </c>
      <c r="F166" s="1259" t="s">
        <v>255</v>
      </c>
      <c r="G166" s="1259" t="s">
        <v>255</v>
      </c>
      <c r="H166" s="1257" t="s">
        <v>255</v>
      </c>
      <c r="I166" s="1257" t="s">
        <v>1758</v>
      </c>
      <c r="J166" s="1257" t="s">
        <v>1758</v>
      </c>
      <c r="K166" s="1257" t="s">
        <v>1758</v>
      </c>
      <c r="L166" s="1257"/>
    </row>
    <row r="167" spans="1:12">
      <c r="A167" s="1257">
        <f>SUBTOTAL(103,$C$7:C167)</f>
        <v>161</v>
      </c>
      <c r="B167" s="1257"/>
      <c r="C167" s="1257" t="s">
        <v>904</v>
      </c>
      <c r="D167" s="1291" t="s">
        <v>2</v>
      </c>
      <c r="E167" s="1257" t="s">
        <v>50</v>
      </c>
      <c r="F167" s="1259" t="s">
        <v>255</v>
      </c>
      <c r="G167" s="1259" t="s">
        <v>255</v>
      </c>
      <c r="H167" s="1257" t="s">
        <v>255</v>
      </c>
      <c r="I167" s="1257" t="s">
        <v>1758</v>
      </c>
      <c r="J167" s="1257" t="s">
        <v>1758</v>
      </c>
      <c r="K167" s="1257" t="s">
        <v>1758</v>
      </c>
      <c r="L167" s="1257"/>
    </row>
    <row r="168" spans="1:12">
      <c r="A168" s="1257">
        <f>SUBTOTAL(103,$C$7:C168)</f>
        <v>162</v>
      </c>
      <c r="B168" s="1257"/>
      <c r="C168" s="1257" t="s">
        <v>905</v>
      </c>
      <c r="D168" s="1291" t="s">
        <v>79</v>
      </c>
      <c r="E168" s="1257" t="s">
        <v>50</v>
      </c>
      <c r="F168" s="1259" t="s">
        <v>255</v>
      </c>
      <c r="G168" s="1259" t="s">
        <v>255</v>
      </c>
      <c r="H168" s="1257" t="s">
        <v>255</v>
      </c>
      <c r="I168" s="1257" t="s">
        <v>1758</v>
      </c>
      <c r="J168" s="1257" t="s">
        <v>1758</v>
      </c>
      <c r="K168" s="1257" t="s">
        <v>1758</v>
      </c>
      <c r="L168" s="1257"/>
    </row>
    <row r="169" spans="1:12">
      <c r="A169" s="1257">
        <f>SUBTOTAL(103,$C$7:C169)</f>
        <v>163</v>
      </c>
      <c r="B169" s="1257"/>
      <c r="C169" s="1257" t="s">
        <v>906</v>
      </c>
      <c r="D169" s="1291" t="s">
        <v>49</v>
      </c>
      <c r="E169" s="1257" t="s">
        <v>50</v>
      </c>
      <c r="F169" s="1259" t="s">
        <v>255</v>
      </c>
      <c r="G169" s="1259" t="s">
        <v>255</v>
      </c>
      <c r="H169" s="1257" t="s">
        <v>255</v>
      </c>
      <c r="I169" s="1257" t="s">
        <v>1758</v>
      </c>
      <c r="J169" s="1257" t="s">
        <v>1758</v>
      </c>
      <c r="K169" s="1257" t="s">
        <v>1758</v>
      </c>
      <c r="L169" s="1257"/>
    </row>
    <row r="170" spans="1:12">
      <c r="A170" s="1257">
        <f>SUBTOTAL(103,$C$7:C170)</f>
        <v>164</v>
      </c>
      <c r="B170" s="1257" t="s">
        <v>567</v>
      </c>
      <c r="C170" s="1257" t="s">
        <v>65</v>
      </c>
      <c r="D170" s="1291" t="s">
        <v>197</v>
      </c>
      <c r="E170" s="1257" t="s">
        <v>50</v>
      </c>
      <c r="F170" s="1259" t="s">
        <v>255</v>
      </c>
      <c r="G170" s="1259" t="s">
        <v>255</v>
      </c>
      <c r="H170" s="1257" t="s">
        <v>255</v>
      </c>
      <c r="I170" s="1257" t="s">
        <v>1758</v>
      </c>
      <c r="J170" s="1257" t="s">
        <v>1758</v>
      </c>
      <c r="K170" s="1257" t="s">
        <v>1758</v>
      </c>
      <c r="L170" s="1257"/>
    </row>
    <row r="171" spans="1:12">
      <c r="A171" s="1257">
        <f>SUBTOTAL(103,$C$7:C171)</f>
        <v>165</v>
      </c>
      <c r="B171" s="1257"/>
      <c r="C171" s="1257" t="s">
        <v>26</v>
      </c>
      <c r="D171" s="1291" t="s">
        <v>3</v>
      </c>
      <c r="E171" s="1257" t="s">
        <v>50</v>
      </c>
      <c r="F171" s="1259" t="s">
        <v>255</v>
      </c>
      <c r="G171" s="1259" t="s">
        <v>255</v>
      </c>
      <c r="H171" s="1257" t="s">
        <v>255</v>
      </c>
      <c r="I171" s="1257" t="s">
        <v>1758</v>
      </c>
      <c r="J171" s="1257" t="s">
        <v>1758</v>
      </c>
      <c r="K171" s="1257" t="s">
        <v>1758</v>
      </c>
      <c r="L171" s="1257"/>
    </row>
    <row r="172" spans="1:12">
      <c r="A172" s="1257">
        <f>SUBTOTAL(103,$C$7:C172)</f>
        <v>166</v>
      </c>
      <c r="B172" s="1257"/>
      <c r="C172" s="1257" t="s">
        <v>437</v>
      </c>
      <c r="D172" s="1291" t="s">
        <v>49</v>
      </c>
      <c r="E172" s="1257" t="s">
        <v>50</v>
      </c>
      <c r="F172" s="1259" t="s">
        <v>255</v>
      </c>
      <c r="G172" s="1259" t="s">
        <v>255</v>
      </c>
      <c r="H172" s="1257" t="s">
        <v>255</v>
      </c>
      <c r="I172" s="1257" t="s">
        <v>1758</v>
      </c>
      <c r="J172" s="1257" t="s">
        <v>1758</v>
      </c>
      <c r="K172" s="1257" t="s">
        <v>1758</v>
      </c>
      <c r="L172" s="1257"/>
    </row>
    <row r="173" spans="1:12">
      <c r="A173" s="1257">
        <f>SUBTOTAL(103,$C$7:C173)</f>
        <v>167</v>
      </c>
      <c r="B173" s="1257"/>
      <c r="C173" s="1257" t="s">
        <v>438</v>
      </c>
      <c r="D173" s="1291" t="s">
        <v>2</v>
      </c>
      <c r="E173" s="1257" t="s">
        <v>50</v>
      </c>
      <c r="F173" s="1259" t="s">
        <v>255</v>
      </c>
      <c r="G173" s="1259" t="s">
        <v>255</v>
      </c>
      <c r="H173" s="1257" t="s">
        <v>255</v>
      </c>
      <c r="I173" s="1257" t="s">
        <v>1758</v>
      </c>
      <c r="J173" s="1257" t="s">
        <v>1758</v>
      </c>
      <c r="K173" s="1257" t="s">
        <v>1758</v>
      </c>
      <c r="L173" s="1257"/>
    </row>
    <row r="174" spans="1:12">
      <c r="A174" s="1257">
        <f>SUBTOTAL(103,$C$7:C174)</f>
        <v>168</v>
      </c>
      <c r="B174" s="1257"/>
      <c r="C174" s="1257" t="s">
        <v>439</v>
      </c>
      <c r="D174" s="1291" t="s">
        <v>49</v>
      </c>
      <c r="E174" s="1257" t="s">
        <v>50</v>
      </c>
      <c r="F174" s="1259" t="s">
        <v>255</v>
      </c>
      <c r="G174" s="1259" t="s">
        <v>255</v>
      </c>
      <c r="H174" s="1257" t="s">
        <v>255</v>
      </c>
      <c r="I174" s="1257" t="s">
        <v>1758</v>
      </c>
      <c r="J174" s="1257" t="s">
        <v>1758</v>
      </c>
      <c r="K174" s="1257" t="s">
        <v>1758</v>
      </c>
      <c r="L174" s="1257"/>
    </row>
    <row r="175" spans="1:12">
      <c r="A175" s="1257">
        <f>SUBTOTAL(103,$C$7:C175)</f>
        <v>169</v>
      </c>
      <c r="B175" s="1257"/>
      <c r="C175" s="1257" t="s">
        <v>440</v>
      </c>
      <c r="D175" s="1291" t="s">
        <v>3</v>
      </c>
      <c r="E175" s="1257" t="s">
        <v>50</v>
      </c>
      <c r="F175" s="1259" t="s">
        <v>255</v>
      </c>
      <c r="G175" s="1259" t="s">
        <v>255</v>
      </c>
      <c r="H175" s="1257" t="s">
        <v>255</v>
      </c>
      <c r="I175" s="1257" t="s">
        <v>1758</v>
      </c>
      <c r="J175" s="1257" t="s">
        <v>1758</v>
      </c>
      <c r="K175" s="1257" t="s">
        <v>1758</v>
      </c>
      <c r="L175" s="1257"/>
    </row>
    <row r="176" spans="1:12">
      <c r="A176" s="1257">
        <f>SUBTOTAL(103,$C$7:C176)</f>
        <v>170</v>
      </c>
      <c r="B176" s="1257"/>
      <c r="C176" s="1257" t="s">
        <v>441</v>
      </c>
      <c r="D176" s="1291" t="s">
        <v>79</v>
      </c>
      <c r="E176" s="1257" t="s">
        <v>50</v>
      </c>
      <c r="F176" s="1259" t="s">
        <v>255</v>
      </c>
      <c r="G176" s="1259" t="s">
        <v>255</v>
      </c>
      <c r="H176" s="1257" t="s">
        <v>255</v>
      </c>
      <c r="I176" s="1257" t="s">
        <v>1758</v>
      </c>
      <c r="J176" s="1257" t="s">
        <v>1758</v>
      </c>
      <c r="K176" s="1257" t="s">
        <v>1758</v>
      </c>
      <c r="L176" s="1257"/>
    </row>
    <row r="177" spans="1:12">
      <c r="A177" s="1257">
        <f>SUBTOTAL(103,$C$7:C177)</f>
        <v>171</v>
      </c>
      <c r="B177" s="1257"/>
      <c r="C177" s="1257" t="s">
        <v>442</v>
      </c>
      <c r="D177" s="1291" t="s">
        <v>4</v>
      </c>
      <c r="E177" s="1257" t="s">
        <v>50</v>
      </c>
      <c r="F177" s="1259" t="s">
        <v>255</v>
      </c>
      <c r="G177" s="1259" t="s">
        <v>255</v>
      </c>
      <c r="H177" s="1257" t="s">
        <v>255</v>
      </c>
      <c r="I177" s="1257" t="s">
        <v>1758</v>
      </c>
      <c r="J177" s="1257" t="s">
        <v>1758</v>
      </c>
      <c r="K177" s="1257" t="s">
        <v>1758</v>
      </c>
      <c r="L177" s="1257"/>
    </row>
    <row r="178" spans="1:12">
      <c r="A178" s="1257">
        <f>SUBTOTAL(103,$C$7:C178)</f>
        <v>172</v>
      </c>
      <c r="B178" s="1257"/>
      <c r="C178" s="1257" t="s">
        <v>443</v>
      </c>
      <c r="D178" s="1291" t="s">
        <v>2</v>
      </c>
      <c r="E178" s="1257" t="s">
        <v>50</v>
      </c>
      <c r="F178" s="1259" t="s">
        <v>255</v>
      </c>
      <c r="G178" s="1259" t="s">
        <v>255</v>
      </c>
      <c r="H178" s="1257" t="s">
        <v>255</v>
      </c>
      <c r="I178" s="1257" t="s">
        <v>1758</v>
      </c>
      <c r="J178" s="1257" t="s">
        <v>1758</v>
      </c>
      <c r="K178" s="1257" t="s">
        <v>1758</v>
      </c>
      <c r="L178" s="1257"/>
    </row>
    <row r="179" spans="1:12">
      <c r="A179" s="1257">
        <f>SUBTOTAL(103,$C$7:C179)</f>
        <v>173</v>
      </c>
      <c r="B179" s="1257"/>
      <c r="C179" s="1257" t="s">
        <v>444</v>
      </c>
      <c r="D179" s="1291" t="s">
        <v>4</v>
      </c>
      <c r="E179" s="1257" t="s">
        <v>50</v>
      </c>
      <c r="F179" s="1259" t="s">
        <v>255</v>
      </c>
      <c r="G179" s="1259" t="s">
        <v>255</v>
      </c>
      <c r="H179" s="1257" t="s">
        <v>255</v>
      </c>
      <c r="I179" s="1257" t="s">
        <v>1758</v>
      </c>
      <c r="J179" s="1257" t="s">
        <v>1758</v>
      </c>
      <c r="K179" s="1257" t="s">
        <v>1758</v>
      </c>
      <c r="L179" s="1257"/>
    </row>
    <row r="180" spans="1:12">
      <c r="A180" s="1257">
        <f>SUBTOTAL(103,$C$7:C180)</f>
        <v>174</v>
      </c>
      <c r="B180" s="1257"/>
      <c r="C180" s="1257" t="s">
        <v>445</v>
      </c>
      <c r="D180" s="1291" t="s">
        <v>2</v>
      </c>
      <c r="E180" s="1257" t="s">
        <v>50</v>
      </c>
      <c r="F180" s="1259" t="s">
        <v>255</v>
      </c>
      <c r="G180" s="1259" t="s">
        <v>255</v>
      </c>
      <c r="H180" s="1257" t="s">
        <v>255</v>
      </c>
      <c r="I180" s="1257" t="s">
        <v>1758</v>
      </c>
      <c r="J180" s="1257" t="s">
        <v>1758</v>
      </c>
      <c r="K180" s="1257" t="s">
        <v>1758</v>
      </c>
      <c r="L180" s="1257"/>
    </row>
    <row r="181" spans="1:12">
      <c r="A181" s="1257">
        <f>SUBTOTAL(103,$C$7:C181)</f>
        <v>175</v>
      </c>
      <c r="B181" s="1257" t="s">
        <v>568</v>
      </c>
      <c r="C181" s="1257" t="s">
        <v>9</v>
      </c>
      <c r="D181" s="1291" t="s">
        <v>197</v>
      </c>
      <c r="E181" s="1257" t="s">
        <v>50</v>
      </c>
      <c r="F181" s="1259" t="s">
        <v>255</v>
      </c>
      <c r="G181" s="1259" t="s">
        <v>255</v>
      </c>
      <c r="H181" s="1257" t="s">
        <v>255</v>
      </c>
      <c r="I181" s="1257" t="s">
        <v>1758</v>
      </c>
      <c r="J181" s="1257" t="s">
        <v>1758</v>
      </c>
      <c r="K181" s="1257" t="s">
        <v>1758</v>
      </c>
      <c r="L181" s="1257"/>
    </row>
    <row r="182" spans="1:12">
      <c r="A182" s="1257">
        <f>SUBTOTAL(103,$C$7:C182)</f>
        <v>176</v>
      </c>
      <c r="B182" s="1257"/>
      <c r="C182" s="1257" t="s">
        <v>82</v>
      </c>
      <c r="D182" s="1291" t="s">
        <v>2</v>
      </c>
      <c r="E182" s="1257" t="s">
        <v>50</v>
      </c>
      <c r="F182" s="1259" t="s">
        <v>255</v>
      </c>
      <c r="G182" s="1259" t="s">
        <v>255</v>
      </c>
      <c r="H182" s="1257" t="s">
        <v>255</v>
      </c>
      <c r="I182" s="1257" t="s">
        <v>1758</v>
      </c>
      <c r="J182" s="1257" t="s">
        <v>1758</v>
      </c>
      <c r="K182" s="1257" t="s">
        <v>1758</v>
      </c>
      <c r="L182" s="1257"/>
    </row>
    <row r="183" spans="1:12">
      <c r="A183" s="1257">
        <f>SUBTOTAL(103,$C$7:C183)</f>
        <v>177</v>
      </c>
      <c r="B183" s="1257"/>
      <c r="C183" s="1257" t="s">
        <v>163</v>
      </c>
      <c r="D183" s="1291" t="s">
        <v>170</v>
      </c>
      <c r="E183" s="1257" t="s">
        <v>50</v>
      </c>
      <c r="F183" s="1259" t="s">
        <v>255</v>
      </c>
      <c r="G183" s="1259" t="s">
        <v>255</v>
      </c>
      <c r="H183" s="1257" t="s">
        <v>255</v>
      </c>
      <c r="I183" s="1257" t="s">
        <v>1758</v>
      </c>
      <c r="J183" s="1257" t="s">
        <v>1758</v>
      </c>
      <c r="K183" s="1257" t="s">
        <v>1758</v>
      </c>
      <c r="L183" s="1257"/>
    </row>
    <row r="184" spans="1:12">
      <c r="A184" s="1257">
        <f>SUBTOTAL(103,$C$7:C184)</f>
        <v>178</v>
      </c>
      <c r="B184" s="1257"/>
      <c r="C184" s="1257" t="s">
        <v>164</v>
      </c>
      <c r="D184" s="1291" t="s">
        <v>2</v>
      </c>
      <c r="E184" s="1257" t="s">
        <v>50</v>
      </c>
      <c r="F184" s="1259" t="s">
        <v>255</v>
      </c>
      <c r="G184" s="1259" t="s">
        <v>255</v>
      </c>
      <c r="H184" s="1257" t="s">
        <v>255</v>
      </c>
      <c r="I184" s="1257" t="s">
        <v>1758</v>
      </c>
      <c r="J184" s="1257" t="s">
        <v>1758</v>
      </c>
      <c r="K184" s="1257" t="s">
        <v>1758</v>
      </c>
      <c r="L184" s="1257"/>
    </row>
    <row r="185" spans="1:12">
      <c r="A185" s="1257">
        <f>SUBTOTAL(103,$C$7:C185)</f>
        <v>179</v>
      </c>
      <c r="B185" s="1257"/>
      <c r="C185" s="1257" t="s">
        <v>446</v>
      </c>
      <c r="D185" s="1291" t="s">
        <v>154</v>
      </c>
      <c r="E185" s="1257" t="s">
        <v>50</v>
      </c>
      <c r="F185" s="1259" t="s">
        <v>255</v>
      </c>
      <c r="G185" s="1259" t="s">
        <v>255</v>
      </c>
      <c r="H185" s="1257" t="s">
        <v>255</v>
      </c>
      <c r="I185" s="1257" t="s">
        <v>1758</v>
      </c>
      <c r="J185" s="1257" t="s">
        <v>1758</v>
      </c>
      <c r="K185" s="1257" t="s">
        <v>1758</v>
      </c>
      <c r="L185" s="1257"/>
    </row>
    <row r="186" spans="1:12">
      <c r="A186" s="1257">
        <f>SUBTOTAL(103,$C$7:C186)</f>
        <v>180</v>
      </c>
      <c r="B186" s="1257"/>
      <c r="C186" s="1257" t="s">
        <v>447</v>
      </c>
      <c r="D186" s="1291" t="s">
        <v>79</v>
      </c>
      <c r="E186" s="1257" t="s">
        <v>50</v>
      </c>
      <c r="F186" s="1259" t="s">
        <v>255</v>
      </c>
      <c r="G186" s="1259" t="s">
        <v>255</v>
      </c>
      <c r="H186" s="1257" t="s">
        <v>255</v>
      </c>
      <c r="I186" s="1257" t="s">
        <v>1758</v>
      </c>
      <c r="J186" s="1257" t="s">
        <v>1758</v>
      </c>
      <c r="K186" s="1257" t="s">
        <v>1758</v>
      </c>
      <c r="L186" s="1257"/>
    </row>
    <row r="187" spans="1:12">
      <c r="A187" s="1257">
        <f>SUBTOTAL(103,$C$7:C187)</f>
        <v>181</v>
      </c>
      <c r="B187" s="1257"/>
      <c r="C187" s="1257" t="s">
        <v>448</v>
      </c>
      <c r="D187" s="1291" t="s">
        <v>49</v>
      </c>
      <c r="E187" s="1257" t="s">
        <v>50</v>
      </c>
      <c r="F187" s="1259" t="s">
        <v>255</v>
      </c>
      <c r="G187" s="1259" t="s">
        <v>255</v>
      </c>
      <c r="H187" s="1257" t="s">
        <v>255</v>
      </c>
      <c r="I187" s="1257" t="s">
        <v>1758</v>
      </c>
      <c r="J187" s="1257" t="s">
        <v>1758</v>
      </c>
      <c r="K187" s="1257" t="s">
        <v>1758</v>
      </c>
      <c r="L187" s="1257"/>
    </row>
    <row r="188" spans="1:12">
      <c r="A188" s="1257">
        <f>SUBTOTAL(103,$C$7:C188)</f>
        <v>182</v>
      </c>
      <c r="B188" s="1257"/>
      <c r="C188" s="1257" t="s">
        <v>449</v>
      </c>
      <c r="D188" s="1291" t="s">
        <v>3</v>
      </c>
      <c r="E188" s="1257" t="s">
        <v>50</v>
      </c>
      <c r="F188" s="1259" t="s">
        <v>255</v>
      </c>
      <c r="G188" s="1259" t="s">
        <v>255</v>
      </c>
      <c r="H188" s="1257" t="s">
        <v>255</v>
      </c>
      <c r="I188" s="1257" t="s">
        <v>1758</v>
      </c>
      <c r="J188" s="1257" t="s">
        <v>1758</v>
      </c>
      <c r="K188" s="1257" t="s">
        <v>1758</v>
      </c>
      <c r="L188" s="1257"/>
    </row>
    <row r="189" spans="1:12">
      <c r="A189" s="1257">
        <f>SUBTOTAL(103,$C$7:C189)</f>
        <v>183</v>
      </c>
      <c r="B189" s="1257"/>
      <c r="C189" s="1257" t="s">
        <v>450</v>
      </c>
      <c r="D189" s="1291" t="s">
        <v>3</v>
      </c>
      <c r="E189" s="1257" t="s">
        <v>50</v>
      </c>
      <c r="F189" s="1259" t="s">
        <v>255</v>
      </c>
      <c r="G189" s="1259" t="s">
        <v>255</v>
      </c>
      <c r="H189" s="1257" t="s">
        <v>255</v>
      </c>
      <c r="I189" s="1257" t="s">
        <v>1758</v>
      </c>
      <c r="J189" s="1257" t="s">
        <v>1758</v>
      </c>
      <c r="K189" s="1257" t="s">
        <v>1758</v>
      </c>
      <c r="L189" s="1257"/>
    </row>
    <row r="190" spans="1:12">
      <c r="A190" s="1257">
        <f>SUBTOTAL(103,$C$7:C190)</f>
        <v>184</v>
      </c>
      <c r="B190" s="1257"/>
      <c r="C190" s="1257" t="s">
        <v>451</v>
      </c>
      <c r="D190" s="1291" t="s">
        <v>170</v>
      </c>
      <c r="E190" s="1257" t="s">
        <v>50</v>
      </c>
      <c r="F190" s="1259" t="s">
        <v>255</v>
      </c>
      <c r="G190" s="1259" t="s">
        <v>255</v>
      </c>
      <c r="H190" s="1257" t="s">
        <v>255</v>
      </c>
      <c r="I190" s="1257" t="s">
        <v>1758</v>
      </c>
      <c r="J190" s="1257" t="s">
        <v>1758</v>
      </c>
      <c r="K190" s="1257" t="s">
        <v>1758</v>
      </c>
      <c r="L190" s="1257"/>
    </row>
    <row r="191" spans="1:12">
      <c r="A191" s="1257">
        <f>SUBTOTAL(103,$C$7:C191)</f>
        <v>185</v>
      </c>
      <c r="B191" s="1257"/>
      <c r="C191" s="1257" t="s">
        <v>452</v>
      </c>
      <c r="D191" s="1291" t="s">
        <v>989</v>
      </c>
      <c r="E191" s="1257" t="s">
        <v>50</v>
      </c>
      <c r="F191" s="1259" t="s">
        <v>255</v>
      </c>
      <c r="G191" s="1259" t="s">
        <v>255</v>
      </c>
      <c r="H191" s="1257" t="s">
        <v>255</v>
      </c>
      <c r="I191" s="1257" t="s">
        <v>1758</v>
      </c>
      <c r="J191" s="1257" t="s">
        <v>1758</v>
      </c>
      <c r="K191" s="1257" t="s">
        <v>1758</v>
      </c>
      <c r="L191" s="1257"/>
    </row>
    <row r="192" spans="1:12">
      <c r="A192" s="1257">
        <f>SUBTOTAL(103,$C$7:C192)</f>
        <v>186</v>
      </c>
      <c r="B192" s="1257" t="s">
        <v>569</v>
      </c>
      <c r="C192" s="1257" t="s">
        <v>10</v>
      </c>
      <c r="D192" s="1291" t="s">
        <v>184</v>
      </c>
      <c r="E192" s="1257" t="s">
        <v>50</v>
      </c>
      <c r="F192" s="1259" t="s">
        <v>255</v>
      </c>
      <c r="G192" s="1259" t="s">
        <v>255</v>
      </c>
      <c r="H192" s="1257" t="s">
        <v>255</v>
      </c>
      <c r="I192" s="1257" t="s">
        <v>1758</v>
      </c>
      <c r="J192" s="1257" t="s">
        <v>1758</v>
      </c>
      <c r="K192" s="1257" t="s">
        <v>1758</v>
      </c>
      <c r="L192" s="1257"/>
    </row>
    <row r="193" spans="1:12">
      <c r="A193" s="1257">
        <f>SUBTOTAL(103,$C$7:C193)</f>
        <v>187</v>
      </c>
      <c r="B193" s="1257"/>
      <c r="C193" s="1257" t="s">
        <v>66</v>
      </c>
      <c r="D193" s="1291" t="s">
        <v>79</v>
      </c>
      <c r="E193" s="1257" t="s">
        <v>50</v>
      </c>
      <c r="F193" s="1259" t="s">
        <v>255</v>
      </c>
      <c r="G193" s="1259" t="s">
        <v>255</v>
      </c>
      <c r="H193" s="1257" t="s">
        <v>255</v>
      </c>
      <c r="I193" s="1257" t="s">
        <v>1758</v>
      </c>
      <c r="J193" s="1257" t="s">
        <v>1758</v>
      </c>
      <c r="K193" s="1257" t="s">
        <v>1758</v>
      </c>
      <c r="L193" s="1257"/>
    </row>
    <row r="194" spans="1:12">
      <c r="A194" s="1257">
        <f>SUBTOTAL(103,$C$7:C194)</f>
        <v>188</v>
      </c>
      <c r="B194" s="1257"/>
      <c r="C194" s="1257" t="s">
        <v>165</v>
      </c>
      <c r="D194" s="1291" t="s">
        <v>49</v>
      </c>
      <c r="E194" s="1257" t="s">
        <v>50</v>
      </c>
      <c r="F194" s="1259" t="s">
        <v>255</v>
      </c>
      <c r="G194" s="1259" t="s">
        <v>255</v>
      </c>
      <c r="H194" s="1257" t="s">
        <v>255</v>
      </c>
      <c r="I194" s="1257" t="s">
        <v>1758</v>
      </c>
      <c r="J194" s="1257" t="s">
        <v>1758</v>
      </c>
      <c r="K194" s="1257" t="s">
        <v>1758</v>
      </c>
      <c r="L194" s="1257"/>
    </row>
    <row r="195" spans="1:12">
      <c r="A195" s="1257">
        <f>SUBTOTAL(103,$C$7:C195)</f>
        <v>189</v>
      </c>
      <c r="B195" s="1257"/>
      <c r="C195" s="1257" t="s">
        <v>875</v>
      </c>
      <c r="D195" s="1291" t="s">
        <v>79</v>
      </c>
      <c r="E195" s="1257" t="s">
        <v>50</v>
      </c>
      <c r="F195" s="1259" t="s">
        <v>255</v>
      </c>
      <c r="G195" s="1259" t="s">
        <v>255</v>
      </c>
      <c r="H195" s="1257" t="s">
        <v>255</v>
      </c>
      <c r="I195" s="1257" t="s">
        <v>1758</v>
      </c>
      <c r="J195" s="1257" t="s">
        <v>1758</v>
      </c>
      <c r="K195" s="1257" t="s">
        <v>1758</v>
      </c>
      <c r="L195" s="1257"/>
    </row>
    <row r="196" spans="1:12">
      <c r="A196" s="1257">
        <f>SUBTOTAL(103,$C$7:C196)</f>
        <v>190</v>
      </c>
      <c r="B196" s="1257"/>
      <c r="C196" s="1257" t="s">
        <v>876</v>
      </c>
      <c r="D196" s="1291" t="s">
        <v>49</v>
      </c>
      <c r="E196" s="1257" t="s">
        <v>50</v>
      </c>
      <c r="F196" s="1259" t="s">
        <v>255</v>
      </c>
      <c r="G196" s="1259" t="s">
        <v>255</v>
      </c>
      <c r="H196" s="1257" t="s">
        <v>255</v>
      </c>
      <c r="I196" s="1257" t="s">
        <v>1758</v>
      </c>
      <c r="J196" s="1257" t="s">
        <v>1758</v>
      </c>
      <c r="K196" s="1257" t="s">
        <v>1758</v>
      </c>
      <c r="L196" s="1257"/>
    </row>
    <row r="197" spans="1:12">
      <c r="A197" s="1257">
        <f>SUBTOTAL(103,$C$7:C197)</f>
        <v>191</v>
      </c>
      <c r="B197" s="1257"/>
      <c r="C197" s="1257" t="s">
        <v>877</v>
      </c>
      <c r="D197" s="1291" t="s">
        <v>49</v>
      </c>
      <c r="E197" s="1257" t="s">
        <v>50</v>
      </c>
      <c r="F197" s="1259" t="s">
        <v>255</v>
      </c>
      <c r="G197" s="1259" t="s">
        <v>255</v>
      </c>
      <c r="H197" s="1257" t="s">
        <v>255</v>
      </c>
      <c r="I197" s="1257" t="s">
        <v>1758</v>
      </c>
      <c r="J197" s="1257" t="s">
        <v>1758</v>
      </c>
      <c r="K197" s="1257" t="s">
        <v>1758</v>
      </c>
      <c r="L197" s="1257"/>
    </row>
    <row r="198" spans="1:12">
      <c r="A198" s="1257">
        <f>SUBTOTAL(103,$C$7:C198)</f>
        <v>192</v>
      </c>
      <c r="B198" s="1257"/>
      <c r="C198" s="1257" t="s">
        <v>878</v>
      </c>
      <c r="D198" s="1291" t="s">
        <v>49</v>
      </c>
      <c r="E198" s="1257" t="s">
        <v>50</v>
      </c>
      <c r="F198" s="1259" t="s">
        <v>255</v>
      </c>
      <c r="G198" s="1259" t="s">
        <v>255</v>
      </c>
      <c r="H198" s="1257" t="s">
        <v>255</v>
      </c>
      <c r="I198" s="1257" t="s">
        <v>1758</v>
      </c>
      <c r="J198" s="1257" t="s">
        <v>1758</v>
      </c>
      <c r="K198" s="1257" t="s">
        <v>1758</v>
      </c>
      <c r="L198" s="1257"/>
    </row>
    <row r="199" spans="1:12">
      <c r="A199" s="1257">
        <f>SUBTOTAL(103,$C$7:C199)</f>
        <v>193</v>
      </c>
      <c r="B199" s="1257"/>
      <c r="C199" s="1257" t="s">
        <v>879</v>
      </c>
      <c r="D199" s="1291" t="s">
        <v>2</v>
      </c>
      <c r="E199" s="1257" t="s">
        <v>50</v>
      </c>
      <c r="F199" s="1259" t="s">
        <v>255</v>
      </c>
      <c r="G199" s="1259" t="s">
        <v>255</v>
      </c>
      <c r="H199" s="1257" t="s">
        <v>255</v>
      </c>
      <c r="I199" s="1257" t="s">
        <v>1758</v>
      </c>
      <c r="J199" s="1257" t="s">
        <v>1758</v>
      </c>
      <c r="K199" s="1257" t="s">
        <v>1758</v>
      </c>
      <c r="L199" s="1257"/>
    </row>
    <row r="200" spans="1:12">
      <c r="A200" s="1257">
        <f>SUBTOTAL(103,$C$7:C200)</f>
        <v>194</v>
      </c>
      <c r="B200" s="1257" t="s">
        <v>907</v>
      </c>
      <c r="C200" s="1257" t="s">
        <v>775</v>
      </c>
      <c r="D200" s="1291" t="s">
        <v>211</v>
      </c>
      <c r="E200" s="1257" t="s">
        <v>50</v>
      </c>
      <c r="F200" s="1259" t="s">
        <v>255</v>
      </c>
      <c r="G200" s="1259" t="s">
        <v>255</v>
      </c>
      <c r="H200" s="1257" t="s">
        <v>255</v>
      </c>
      <c r="I200" s="1257" t="s">
        <v>1758</v>
      </c>
      <c r="J200" s="1257" t="s">
        <v>1758</v>
      </c>
      <c r="K200" s="1257" t="s">
        <v>1758</v>
      </c>
      <c r="L200" s="1257"/>
    </row>
    <row r="201" spans="1:12">
      <c r="A201" s="1257">
        <f>SUBTOTAL(103,$C$7:C201)</f>
        <v>195</v>
      </c>
      <c r="B201" s="1257"/>
      <c r="C201" s="1257" t="s">
        <v>776</v>
      </c>
      <c r="D201" s="1291" t="s">
        <v>79</v>
      </c>
      <c r="E201" s="1257" t="s">
        <v>50</v>
      </c>
      <c r="F201" s="1259" t="s">
        <v>255</v>
      </c>
      <c r="G201" s="1259" t="s">
        <v>255</v>
      </c>
      <c r="H201" s="1257" t="s">
        <v>255</v>
      </c>
      <c r="I201" s="1257" t="s">
        <v>1758</v>
      </c>
      <c r="J201" s="1257" t="s">
        <v>1758</v>
      </c>
      <c r="K201" s="1257" t="s">
        <v>1758</v>
      </c>
      <c r="L201" s="1257"/>
    </row>
    <row r="202" spans="1:12">
      <c r="A202" s="1257">
        <f>SUBTOTAL(103,$C$7:C202)</f>
        <v>196</v>
      </c>
      <c r="B202" s="1257" t="s">
        <v>570</v>
      </c>
      <c r="C202" s="1257" t="s">
        <v>67</v>
      </c>
      <c r="D202" s="1291" t="s">
        <v>211</v>
      </c>
      <c r="E202" s="1257" t="s">
        <v>50</v>
      </c>
      <c r="F202" s="1259" t="s">
        <v>255</v>
      </c>
      <c r="G202" s="1259" t="s">
        <v>255</v>
      </c>
      <c r="H202" s="1257" t="s">
        <v>255</v>
      </c>
      <c r="I202" s="1257" t="s">
        <v>1758</v>
      </c>
      <c r="J202" s="1257" t="s">
        <v>1758</v>
      </c>
      <c r="K202" s="1257" t="s">
        <v>1758</v>
      </c>
      <c r="L202" s="1257"/>
    </row>
    <row r="203" spans="1:12">
      <c r="A203" s="1257">
        <f>SUBTOTAL(103,$C$7:C203)</f>
        <v>197</v>
      </c>
      <c r="B203" s="1257"/>
      <c r="C203" s="1257" t="s">
        <v>68</v>
      </c>
      <c r="D203" s="1291" t="s">
        <v>49</v>
      </c>
      <c r="E203" s="1257" t="s">
        <v>50</v>
      </c>
      <c r="F203" s="1259" t="s">
        <v>255</v>
      </c>
      <c r="G203" s="1259" t="s">
        <v>255</v>
      </c>
      <c r="H203" s="1257" t="s">
        <v>255</v>
      </c>
      <c r="I203" s="1257" t="s">
        <v>1758</v>
      </c>
      <c r="J203" s="1257" t="s">
        <v>1758</v>
      </c>
      <c r="K203" s="1257" t="s">
        <v>1758</v>
      </c>
      <c r="L203" s="1257"/>
    </row>
    <row r="204" spans="1:12">
      <c r="A204" s="1257">
        <f>SUBTOTAL(103,$C$7:C204)</f>
        <v>198</v>
      </c>
      <c r="B204" s="1257"/>
      <c r="C204" s="1257" t="s">
        <v>69</v>
      </c>
      <c r="D204" s="1291" t="s">
        <v>49</v>
      </c>
      <c r="E204" s="1257" t="s">
        <v>50</v>
      </c>
      <c r="F204" s="1259" t="s">
        <v>255</v>
      </c>
      <c r="G204" s="1259" t="s">
        <v>255</v>
      </c>
      <c r="H204" s="1257" t="s">
        <v>255</v>
      </c>
      <c r="I204" s="1257" t="s">
        <v>1758</v>
      </c>
      <c r="J204" s="1257" t="s">
        <v>1758</v>
      </c>
      <c r="K204" s="1257" t="s">
        <v>1758</v>
      </c>
      <c r="L204" s="1257"/>
    </row>
    <row r="205" spans="1:12">
      <c r="A205" s="1257">
        <f>SUBTOTAL(103,$C$7:C205)</f>
        <v>199</v>
      </c>
      <c r="B205" s="1257"/>
      <c r="C205" s="1257" t="s">
        <v>70</v>
      </c>
      <c r="D205" s="1291" t="s">
        <v>2</v>
      </c>
      <c r="E205" s="1257" t="s">
        <v>50</v>
      </c>
      <c r="F205" s="1259" t="s">
        <v>255</v>
      </c>
      <c r="G205" s="1259" t="s">
        <v>255</v>
      </c>
      <c r="H205" s="1257" t="s">
        <v>255</v>
      </c>
      <c r="I205" s="1257" t="s">
        <v>1758</v>
      </c>
      <c r="J205" s="1257" t="s">
        <v>1758</v>
      </c>
      <c r="K205" s="1257" t="s">
        <v>1758</v>
      </c>
      <c r="L205" s="1257"/>
    </row>
    <row r="206" spans="1:12">
      <c r="A206" s="1257">
        <f>SUBTOTAL(103,$C$7:C206)</f>
        <v>200</v>
      </c>
      <c r="B206" s="1257"/>
      <c r="C206" s="1257" t="s">
        <v>187</v>
      </c>
      <c r="D206" s="1291" t="s">
        <v>2</v>
      </c>
      <c r="E206" s="1257" t="s">
        <v>50</v>
      </c>
      <c r="F206" s="1259" t="s">
        <v>255</v>
      </c>
      <c r="G206" s="1259" t="s">
        <v>255</v>
      </c>
      <c r="H206" s="1257" t="s">
        <v>255</v>
      </c>
      <c r="I206" s="1257" t="s">
        <v>1758</v>
      </c>
      <c r="J206" s="1257" t="s">
        <v>1758</v>
      </c>
      <c r="K206" s="1257" t="s">
        <v>1758</v>
      </c>
      <c r="L206" s="1257"/>
    </row>
    <row r="207" spans="1:12">
      <c r="A207" s="1257">
        <f>SUBTOTAL(103,$C$7:C207)</f>
        <v>201</v>
      </c>
      <c r="B207" s="1257"/>
      <c r="C207" s="1257" t="s">
        <v>571</v>
      </c>
      <c r="D207" s="1291" t="s">
        <v>3</v>
      </c>
      <c r="E207" s="1257" t="s">
        <v>50</v>
      </c>
      <c r="F207" s="1259" t="s">
        <v>255</v>
      </c>
      <c r="G207" s="1259" t="s">
        <v>255</v>
      </c>
      <c r="H207" s="1257" t="s">
        <v>255</v>
      </c>
      <c r="I207" s="1257" t="s">
        <v>1758</v>
      </c>
      <c r="J207" s="1257" t="s">
        <v>1758</v>
      </c>
      <c r="K207" s="1257" t="s">
        <v>1758</v>
      </c>
      <c r="L207" s="1257"/>
    </row>
    <row r="208" spans="1:12">
      <c r="A208" s="1257">
        <f>SUBTOTAL(103,$C$7:C208)</f>
        <v>202</v>
      </c>
      <c r="B208" s="1257"/>
      <c r="C208" s="1257" t="s">
        <v>572</v>
      </c>
      <c r="D208" s="1291" t="s">
        <v>79</v>
      </c>
      <c r="E208" s="1257" t="s">
        <v>50</v>
      </c>
      <c r="F208" s="1259" t="s">
        <v>255</v>
      </c>
      <c r="G208" s="1259" t="s">
        <v>255</v>
      </c>
      <c r="H208" s="1257" t="s">
        <v>255</v>
      </c>
      <c r="I208" s="1257" t="s">
        <v>1758</v>
      </c>
      <c r="J208" s="1257" t="s">
        <v>1758</v>
      </c>
      <c r="K208" s="1257" t="s">
        <v>1758</v>
      </c>
      <c r="L208" s="1257"/>
    </row>
    <row r="209" spans="1:12">
      <c r="A209" s="1257">
        <f>SUBTOTAL(103,$C$7:C209)</f>
        <v>203</v>
      </c>
      <c r="B209" s="1257"/>
      <c r="C209" s="1257" t="s">
        <v>573</v>
      </c>
      <c r="D209" s="1291" t="s">
        <v>79</v>
      </c>
      <c r="E209" s="1257" t="s">
        <v>50</v>
      </c>
      <c r="F209" s="1259" t="s">
        <v>255</v>
      </c>
      <c r="G209" s="1259" t="s">
        <v>255</v>
      </c>
      <c r="H209" s="1257" t="s">
        <v>255</v>
      </c>
      <c r="I209" s="1257" t="s">
        <v>1758</v>
      </c>
      <c r="J209" s="1257" t="s">
        <v>1758</v>
      </c>
      <c r="K209" s="1257" t="s">
        <v>1758</v>
      </c>
      <c r="L209" s="1257"/>
    </row>
    <row r="210" spans="1:12">
      <c r="A210" s="1257">
        <f>SUBTOTAL(103,$C$7:C210)</f>
        <v>204</v>
      </c>
      <c r="B210" s="1257"/>
      <c r="C210" s="1257" t="s">
        <v>574</v>
      </c>
      <c r="D210" s="1291" t="s">
        <v>2</v>
      </c>
      <c r="E210" s="1257" t="s">
        <v>50</v>
      </c>
      <c r="F210" s="1259" t="s">
        <v>255</v>
      </c>
      <c r="G210" s="1259" t="s">
        <v>255</v>
      </c>
      <c r="H210" s="1257" t="s">
        <v>255</v>
      </c>
      <c r="I210" s="1257" t="s">
        <v>1758</v>
      </c>
      <c r="J210" s="1257" t="s">
        <v>1758</v>
      </c>
      <c r="K210" s="1257" t="s">
        <v>1758</v>
      </c>
      <c r="L210" s="1257"/>
    </row>
    <row r="211" spans="1:12">
      <c r="A211" s="1257">
        <f>SUBTOTAL(103,$C$7:C211)</f>
        <v>205</v>
      </c>
      <c r="B211" s="1257"/>
      <c r="C211" s="1257" t="s">
        <v>575</v>
      </c>
      <c r="D211" s="1291" t="s">
        <v>170</v>
      </c>
      <c r="E211" s="1257" t="s">
        <v>50</v>
      </c>
      <c r="F211" s="1259" t="s">
        <v>255</v>
      </c>
      <c r="G211" s="1259" t="s">
        <v>255</v>
      </c>
      <c r="H211" s="1257" t="s">
        <v>255</v>
      </c>
      <c r="I211" s="1257" t="s">
        <v>1758</v>
      </c>
      <c r="J211" s="1257" t="s">
        <v>1758</v>
      </c>
      <c r="K211" s="1257" t="s">
        <v>1758</v>
      </c>
      <c r="L211" s="1257"/>
    </row>
    <row r="212" spans="1:12">
      <c r="A212" s="1257">
        <f>SUBTOTAL(103,$C$7:C212)</f>
        <v>206</v>
      </c>
      <c r="B212" s="1257" t="s">
        <v>576</v>
      </c>
      <c r="C212" s="1257" t="s">
        <v>166</v>
      </c>
      <c r="D212" s="1291" t="s">
        <v>227</v>
      </c>
      <c r="E212" s="1257" t="s">
        <v>50</v>
      </c>
      <c r="F212" s="1259" t="s">
        <v>255</v>
      </c>
      <c r="G212" s="1259" t="s">
        <v>255</v>
      </c>
      <c r="H212" s="1257" t="s">
        <v>255</v>
      </c>
      <c r="I212" s="1257" t="s">
        <v>1758</v>
      </c>
      <c r="J212" s="1257" t="s">
        <v>1758</v>
      </c>
      <c r="K212" s="1257" t="s">
        <v>1758</v>
      </c>
      <c r="L212" s="1257"/>
    </row>
    <row r="213" spans="1:12">
      <c r="A213" s="1257">
        <f>SUBTOTAL(103,$C$7:C213)</f>
        <v>207</v>
      </c>
      <c r="B213" s="1257"/>
      <c r="C213" s="1257" t="s">
        <v>577</v>
      </c>
      <c r="D213" s="1291" t="s">
        <v>49</v>
      </c>
      <c r="E213" s="1257" t="s">
        <v>50</v>
      </c>
      <c r="F213" s="1259" t="s">
        <v>255</v>
      </c>
      <c r="G213" s="1259" t="s">
        <v>255</v>
      </c>
      <c r="H213" s="1257" t="s">
        <v>255</v>
      </c>
      <c r="I213" s="1257" t="s">
        <v>1758</v>
      </c>
      <c r="J213" s="1257" t="s">
        <v>1758</v>
      </c>
      <c r="K213" s="1257" t="s">
        <v>1758</v>
      </c>
      <c r="L213" s="1257"/>
    </row>
    <row r="214" spans="1:12">
      <c r="A214" s="1257">
        <f>SUBTOTAL(103,$C$7:C214)</f>
        <v>208</v>
      </c>
      <c r="B214" s="1257"/>
      <c r="C214" s="1257" t="s">
        <v>578</v>
      </c>
      <c r="D214" s="1291" t="s">
        <v>49</v>
      </c>
      <c r="E214" s="1257" t="s">
        <v>50</v>
      </c>
      <c r="F214" s="1259" t="s">
        <v>255</v>
      </c>
      <c r="G214" s="1259" t="s">
        <v>255</v>
      </c>
      <c r="H214" s="1257" t="s">
        <v>255</v>
      </c>
      <c r="I214" s="1257" t="s">
        <v>1758</v>
      </c>
      <c r="J214" s="1257" t="s">
        <v>1758</v>
      </c>
      <c r="K214" s="1257" t="s">
        <v>1758</v>
      </c>
      <c r="L214" s="1257"/>
    </row>
    <row r="215" spans="1:12">
      <c r="A215" s="1257">
        <f>SUBTOTAL(103,$C$7:C215)</f>
        <v>209</v>
      </c>
      <c r="B215" s="1257"/>
      <c r="C215" s="1257" t="s">
        <v>579</v>
      </c>
      <c r="D215" s="1291" t="s">
        <v>170</v>
      </c>
      <c r="E215" s="1257" t="s">
        <v>50</v>
      </c>
      <c r="F215" s="1259" t="s">
        <v>255</v>
      </c>
      <c r="G215" s="1259" t="s">
        <v>255</v>
      </c>
      <c r="H215" s="1257" t="s">
        <v>255</v>
      </c>
      <c r="I215" s="1257" t="s">
        <v>1758</v>
      </c>
      <c r="J215" s="1257" t="s">
        <v>1758</v>
      </c>
      <c r="K215" s="1257" t="s">
        <v>1758</v>
      </c>
      <c r="L215" s="1257"/>
    </row>
    <row r="216" spans="1:12">
      <c r="A216" s="1257">
        <f>SUBTOTAL(103,$C$7:C216)</f>
        <v>210</v>
      </c>
      <c r="B216" s="1257"/>
      <c r="C216" s="1257" t="s">
        <v>580</v>
      </c>
      <c r="D216" s="1291" t="s">
        <v>79</v>
      </c>
      <c r="E216" s="1257" t="s">
        <v>50</v>
      </c>
      <c r="F216" s="1259" t="s">
        <v>255</v>
      </c>
      <c r="G216" s="1259" t="s">
        <v>255</v>
      </c>
      <c r="H216" s="1257" t="s">
        <v>255</v>
      </c>
      <c r="I216" s="1257" t="s">
        <v>1758</v>
      </c>
      <c r="J216" s="1257" t="s">
        <v>1758</v>
      </c>
      <c r="K216" s="1257" t="s">
        <v>1758</v>
      </c>
      <c r="L216" s="1257"/>
    </row>
    <row r="217" spans="1:12">
      <c r="A217" s="1257">
        <f>SUBTOTAL(103,$C$7:C217)</f>
        <v>211</v>
      </c>
      <c r="B217" s="1257"/>
      <c r="C217" s="1257" t="s">
        <v>581</v>
      </c>
      <c r="D217" s="1291" t="s">
        <v>49</v>
      </c>
      <c r="E217" s="1257" t="s">
        <v>50</v>
      </c>
      <c r="F217" s="1259" t="s">
        <v>255</v>
      </c>
      <c r="G217" s="1259" t="s">
        <v>255</v>
      </c>
      <c r="H217" s="1257" t="s">
        <v>255</v>
      </c>
      <c r="I217" s="1257" t="s">
        <v>1758</v>
      </c>
      <c r="J217" s="1257" t="s">
        <v>1758</v>
      </c>
      <c r="K217" s="1257" t="s">
        <v>1758</v>
      </c>
      <c r="L217" s="1257"/>
    </row>
    <row r="218" spans="1:12">
      <c r="A218" s="1257">
        <f>SUBTOTAL(103,$C$7:C218)</f>
        <v>212</v>
      </c>
      <c r="B218" s="1257"/>
      <c r="C218" s="1257" t="s">
        <v>582</v>
      </c>
      <c r="D218" s="1291" t="s">
        <v>2</v>
      </c>
      <c r="E218" s="1257" t="s">
        <v>50</v>
      </c>
      <c r="F218" s="1259" t="s">
        <v>255</v>
      </c>
      <c r="G218" s="1259" t="s">
        <v>255</v>
      </c>
      <c r="H218" s="1257" t="s">
        <v>255</v>
      </c>
      <c r="I218" s="1257" t="s">
        <v>1758</v>
      </c>
      <c r="J218" s="1257" t="s">
        <v>1758</v>
      </c>
      <c r="K218" s="1257" t="s">
        <v>1758</v>
      </c>
      <c r="L218" s="1257"/>
    </row>
    <row r="219" spans="1:12">
      <c r="A219" s="1257">
        <f>SUBTOTAL(103,$C$7:C219)</f>
        <v>213</v>
      </c>
      <c r="B219" s="1257"/>
      <c r="C219" s="1257" t="s">
        <v>583</v>
      </c>
      <c r="D219" s="1291" t="s">
        <v>3</v>
      </c>
      <c r="E219" s="1257" t="s">
        <v>50</v>
      </c>
      <c r="F219" s="1259" t="s">
        <v>255</v>
      </c>
      <c r="G219" s="1259" t="s">
        <v>255</v>
      </c>
      <c r="H219" s="1257" t="s">
        <v>255</v>
      </c>
      <c r="I219" s="1257" t="s">
        <v>1758</v>
      </c>
      <c r="J219" s="1257" t="s">
        <v>1758</v>
      </c>
      <c r="K219" s="1257" t="s">
        <v>1758</v>
      </c>
      <c r="L219" s="1257"/>
    </row>
    <row r="220" spans="1:12">
      <c r="A220" s="1257">
        <f>SUBTOTAL(103,$C$7:C220)</f>
        <v>214</v>
      </c>
      <c r="B220" s="1257"/>
      <c r="C220" s="1257" t="s">
        <v>584</v>
      </c>
      <c r="D220" s="1291" t="s">
        <v>3</v>
      </c>
      <c r="E220" s="1257" t="s">
        <v>50</v>
      </c>
      <c r="F220" s="1259" t="s">
        <v>255</v>
      </c>
      <c r="G220" s="1259" t="s">
        <v>255</v>
      </c>
      <c r="H220" s="1257" t="s">
        <v>255</v>
      </c>
      <c r="I220" s="1257" t="s">
        <v>1758</v>
      </c>
      <c r="J220" s="1257" t="s">
        <v>1758</v>
      </c>
      <c r="K220" s="1257" t="s">
        <v>1758</v>
      </c>
      <c r="L220" s="1257"/>
    </row>
    <row r="221" spans="1:12">
      <c r="A221" s="1257">
        <f>SUBTOTAL(103,$C$7:C221)</f>
        <v>215</v>
      </c>
      <c r="B221" s="1257"/>
      <c r="C221" s="1257" t="s">
        <v>585</v>
      </c>
      <c r="D221" s="1291" t="s">
        <v>170</v>
      </c>
      <c r="E221" s="1257" t="s">
        <v>50</v>
      </c>
      <c r="F221" s="1259" t="s">
        <v>255</v>
      </c>
      <c r="G221" s="1259" t="s">
        <v>255</v>
      </c>
      <c r="H221" s="1257" t="s">
        <v>255</v>
      </c>
      <c r="I221" s="1257" t="s">
        <v>1758</v>
      </c>
      <c r="J221" s="1257" t="s">
        <v>1758</v>
      </c>
      <c r="K221" s="1257" t="s">
        <v>1758</v>
      </c>
      <c r="L221" s="1257"/>
    </row>
    <row r="222" spans="1:12">
      <c r="A222" s="1257">
        <f>SUBTOTAL(103,$C$7:C222)</f>
        <v>216</v>
      </c>
      <c r="B222" s="1257"/>
      <c r="C222" s="1257" t="s">
        <v>586</v>
      </c>
      <c r="D222" s="1291" t="s">
        <v>4</v>
      </c>
      <c r="E222" s="1257" t="s">
        <v>50</v>
      </c>
      <c r="F222" s="1259" t="s">
        <v>255</v>
      </c>
      <c r="G222" s="1259" t="s">
        <v>255</v>
      </c>
      <c r="H222" s="1257" t="s">
        <v>255</v>
      </c>
      <c r="I222" s="1257" t="s">
        <v>1758</v>
      </c>
      <c r="J222" s="1257" t="s">
        <v>1758</v>
      </c>
      <c r="K222" s="1257" t="s">
        <v>1758</v>
      </c>
      <c r="L222" s="1257"/>
    </row>
    <row r="223" spans="1:12">
      <c r="A223" s="1257">
        <f>SUBTOTAL(103,$C$7:C223)</f>
        <v>217</v>
      </c>
      <c r="B223" s="1257"/>
      <c r="C223" s="1257" t="s">
        <v>587</v>
      </c>
      <c r="D223" s="1291" t="s">
        <v>170</v>
      </c>
      <c r="E223" s="1257" t="s">
        <v>50</v>
      </c>
      <c r="F223" s="1259" t="s">
        <v>255</v>
      </c>
      <c r="G223" s="1259" t="s">
        <v>255</v>
      </c>
      <c r="H223" s="1257" t="s">
        <v>255</v>
      </c>
      <c r="I223" s="1257" t="s">
        <v>1758</v>
      </c>
      <c r="J223" s="1257" t="s">
        <v>1758</v>
      </c>
      <c r="K223" s="1257" t="s">
        <v>1758</v>
      </c>
      <c r="L223" s="1257"/>
    </row>
    <row r="224" spans="1:12">
      <c r="A224" s="1257">
        <f>SUBTOTAL(103,$C$7:C224)</f>
        <v>218</v>
      </c>
      <c r="B224" s="1257"/>
      <c r="C224" s="1257" t="s">
        <v>588</v>
      </c>
      <c r="D224" s="1291" t="s">
        <v>2</v>
      </c>
      <c r="E224" s="1257" t="s">
        <v>50</v>
      </c>
      <c r="F224" s="1259" t="s">
        <v>255</v>
      </c>
      <c r="G224" s="1259" t="s">
        <v>255</v>
      </c>
      <c r="H224" s="1257" t="s">
        <v>255</v>
      </c>
      <c r="I224" s="1257" t="s">
        <v>1758</v>
      </c>
      <c r="J224" s="1257" t="s">
        <v>1758</v>
      </c>
      <c r="K224" s="1257" t="s">
        <v>1758</v>
      </c>
      <c r="L224" s="1257"/>
    </row>
    <row r="225" spans="1:12">
      <c r="A225" s="1257">
        <f>SUBTOTAL(103,$C$7:C225)</f>
        <v>219</v>
      </c>
      <c r="B225" s="1257" t="s">
        <v>589</v>
      </c>
      <c r="C225" s="1257" t="s">
        <v>71</v>
      </c>
      <c r="D225" s="1291" t="s">
        <v>184</v>
      </c>
      <c r="E225" s="1257" t="s">
        <v>50</v>
      </c>
      <c r="F225" s="1259" t="s">
        <v>255</v>
      </c>
      <c r="G225" s="1259" t="s">
        <v>255</v>
      </c>
      <c r="H225" s="1257" t="s">
        <v>255</v>
      </c>
      <c r="I225" s="1257" t="s">
        <v>1758</v>
      </c>
      <c r="J225" s="1257" t="s">
        <v>1758</v>
      </c>
      <c r="K225" s="1257" t="s">
        <v>1758</v>
      </c>
      <c r="L225" s="1257"/>
    </row>
    <row r="226" spans="1:12">
      <c r="A226" s="1257">
        <f>SUBTOTAL(103,$C$7:C226)</f>
        <v>220</v>
      </c>
      <c r="B226" s="1257"/>
      <c r="C226" s="1257" t="s">
        <v>590</v>
      </c>
      <c r="D226" s="1291" t="s">
        <v>79</v>
      </c>
      <c r="E226" s="1257" t="s">
        <v>50</v>
      </c>
      <c r="F226" s="1259" t="s">
        <v>255</v>
      </c>
      <c r="G226" s="1259" t="s">
        <v>255</v>
      </c>
      <c r="H226" s="1257" t="s">
        <v>255</v>
      </c>
      <c r="I226" s="1257" t="s">
        <v>1758</v>
      </c>
      <c r="J226" s="1257" t="s">
        <v>1758</v>
      </c>
      <c r="K226" s="1257" t="s">
        <v>311</v>
      </c>
      <c r="L226" s="1257"/>
    </row>
    <row r="227" spans="1:12">
      <c r="A227" s="1255">
        <f>SUBTOTAL(103,$C$7:C227)</f>
        <v>221</v>
      </c>
      <c r="B227" s="1255"/>
      <c r="C227" s="1257" t="s">
        <v>591</v>
      </c>
      <c r="D227" s="1293" t="s">
        <v>79</v>
      </c>
      <c r="E227" s="1257" t="s">
        <v>50</v>
      </c>
      <c r="F227" s="1252" t="s">
        <v>255</v>
      </c>
      <c r="G227" s="1255"/>
      <c r="H227" s="1255" t="s">
        <v>255</v>
      </c>
      <c r="I227" s="1255" t="s">
        <v>1758</v>
      </c>
      <c r="J227" s="1255" t="s">
        <v>1758</v>
      </c>
      <c r="K227" s="1257" t="s">
        <v>311</v>
      </c>
      <c r="L227" s="1255"/>
    </row>
    <row r="228" spans="1:12">
      <c r="A228" s="1257">
        <f>SUBTOTAL(103,$C$7:C228)</f>
        <v>222</v>
      </c>
      <c r="B228" s="1257"/>
      <c r="C228" s="1257" t="s">
        <v>592</v>
      </c>
      <c r="D228" s="1291" t="s">
        <v>4</v>
      </c>
      <c r="E228" s="1257" t="s">
        <v>50</v>
      </c>
      <c r="F228" s="1259" t="s">
        <v>255</v>
      </c>
      <c r="G228" s="1259" t="s">
        <v>255</v>
      </c>
      <c r="H228" s="1257" t="s">
        <v>255</v>
      </c>
      <c r="I228" s="1257" t="s">
        <v>1758</v>
      </c>
      <c r="J228" s="1257" t="s">
        <v>1758</v>
      </c>
      <c r="K228" s="1257" t="s">
        <v>311</v>
      </c>
      <c r="L228" s="1257"/>
    </row>
    <row r="229" spans="1:12">
      <c r="A229" s="1257">
        <f>SUBTOTAL(103,$C$7:C229)</f>
        <v>223</v>
      </c>
      <c r="B229" s="1257"/>
      <c r="C229" s="1257" t="s">
        <v>593</v>
      </c>
      <c r="D229" s="1291" t="s">
        <v>49</v>
      </c>
      <c r="E229" s="1257" t="s">
        <v>50</v>
      </c>
      <c r="F229" s="1259" t="s">
        <v>255</v>
      </c>
      <c r="G229" s="1259" t="s">
        <v>255</v>
      </c>
      <c r="H229" s="1257" t="s">
        <v>255</v>
      </c>
      <c r="I229" s="1257" t="s">
        <v>1758</v>
      </c>
      <c r="J229" s="1257" t="s">
        <v>1758</v>
      </c>
      <c r="K229" s="1257" t="s">
        <v>311</v>
      </c>
      <c r="L229" s="1257"/>
    </row>
    <row r="230" spans="1:12">
      <c r="A230" s="1257">
        <f>SUBTOTAL(103,$C$7:C230)</f>
        <v>224</v>
      </c>
      <c r="B230" s="1257"/>
      <c r="C230" s="1257" t="s">
        <v>594</v>
      </c>
      <c r="D230" s="1291" t="s">
        <v>49</v>
      </c>
      <c r="E230" s="1257" t="s">
        <v>50</v>
      </c>
      <c r="F230" s="1259" t="s">
        <v>255</v>
      </c>
      <c r="G230" s="1259" t="s">
        <v>255</v>
      </c>
      <c r="H230" s="1257" t="s">
        <v>255</v>
      </c>
      <c r="I230" s="1257" t="s">
        <v>1758</v>
      </c>
      <c r="J230" s="1257" t="s">
        <v>1758</v>
      </c>
      <c r="K230" s="1257" t="s">
        <v>311</v>
      </c>
      <c r="L230" s="1257"/>
    </row>
    <row r="231" spans="1:12">
      <c r="A231" s="1257">
        <f>SUBTOTAL(103,$C$7:C231)</f>
        <v>225</v>
      </c>
      <c r="B231" s="1257"/>
      <c r="C231" s="1257" t="s">
        <v>595</v>
      </c>
      <c r="D231" s="1291" t="s">
        <v>79</v>
      </c>
      <c r="E231" s="1257" t="s">
        <v>50</v>
      </c>
      <c r="F231" s="1259" t="s">
        <v>255</v>
      </c>
      <c r="G231" s="1259" t="s">
        <v>255</v>
      </c>
      <c r="H231" s="1257" t="s">
        <v>255</v>
      </c>
      <c r="I231" s="1257" t="s">
        <v>1758</v>
      </c>
      <c r="J231" s="1257" t="s">
        <v>1758</v>
      </c>
      <c r="K231" s="1257" t="s">
        <v>311</v>
      </c>
      <c r="L231" s="1257"/>
    </row>
    <row r="232" spans="1:12">
      <c r="A232" s="1257">
        <f>SUBTOTAL(103,$C$7:C232)</f>
        <v>226</v>
      </c>
      <c r="B232" s="1257"/>
      <c r="C232" s="1257" t="s">
        <v>596</v>
      </c>
      <c r="D232" s="1291" t="s">
        <v>2</v>
      </c>
      <c r="E232" s="1257" t="s">
        <v>50</v>
      </c>
      <c r="F232" s="1259" t="s">
        <v>255</v>
      </c>
      <c r="G232" s="1259" t="s">
        <v>255</v>
      </c>
      <c r="H232" s="1257" t="s">
        <v>255</v>
      </c>
      <c r="I232" s="1257" t="s">
        <v>1758</v>
      </c>
      <c r="J232" s="1262" t="s">
        <v>1758</v>
      </c>
      <c r="K232" s="1257" t="s">
        <v>311</v>
      </c>
      <c r="L232" s="1257"/>
    </row>
    <row r="233" spans="1:12">
      <c r="A233" s="1257">
        <f>SUBTOTAL(103,$C$7:C233)</f>
        <v>227</v>
      </c>
      <c r="B233" s="1257"/>
      <c r="C233" s="1257" t="s">
        <v>597</v>
      </c>
      <c r="D233" s="1291" t="s">
        <v>79</v>
      </c>
      <c r="E233" s="1257" t="s">
        <v>50</v>
      </c>
      <c r="F233" s="1259" t="s">
        <v>255</v>
      </c>
      <c r="G233" s="1259" t="s">
        <v>255</v>
      </c>
      <c r="H233" s="1257" t="s">
        <v>255</v>
      </c>
      <c r="I233" s="1257" t="s">
        <v>1758</v>
      </c>
      <c r="J233" s="1257" t="s">
        <v>1758</v>
      </c>
      <c r="K233" s="1257" t="s">
        <v>311</v>
      </c>
      <c r="L233" s="1257"/>
    </row>
    <row r="234" spans="1:12">
      <c r="A234" s="1257">
        <f>SUBTOTAL(103,$C$7:C234)</f>
        <v>228</v>
      </c>
      <c r="B234" s="1257"/>
      <c r="C234" s="1257" t="s">
        <v>598</v>
      </c>
      <c r="D234" s="1291" t="s">
        <v>170</v>
      </c>
      <c r="E234" s="1257" t="s">
        <v>50</v>
      </c>
      <c r="F234" s="1259" t="s">
        <v>255</v>
      </c>
      <c r="G234" s="1259" t="s">
        <v>255</v>
      </c>
      <c r="H234" s="1257" t="s">
        <v>255</v>
      </c>
      <c r="I234" s="1257" t="s">
        <v>1758</v>
      </c>
      <c r="J234" s="1262" t="s">
        <v>1758</v>
      </c>
      <c r="K234" s="1257" t="s">
        <v>311</v>
      </c>
      <c r="L234" s="1257"/>
    </row>
    <row r="235" spans="1:12">
      <c r="A235" s="1257">
        <f>SUBTOTAL(103,$C$7:C235)</f>
        <v>229</v>
      </c>
      <c r="B235" s="1257"/>
      <c r="C235" s="1257" t="s">
        <v>599</v>
      </c>
      <c r="D235" s="1291" t="s">
        <v>2</v>
      </c>
      <c r="E235" s="1257" t="s">
        <v>50</v>
      </c>
      <c r="F235" s="1259" t="s">
        <v>255</v>
      </c>
      <c r="G235" s="1259" t="s">
        <v>255</v>
      </c>
      <c r="H235" s="1257" t="s">
        <v>255</v>
      </c>
      <c r="I235" s="1257" t="s">
        <v>1758</v>
      </c>
      <c r="J235" s="1257" t="s">
        <v>1758</v>
      </c>
      <c r="K235" s="1257" t="s">
        <v>311</v>
      </c>
      <c r="L235" s="1257"/>
    </row>
    <row r="236" spans="1:12">
      <c r="A236" s="1257">
        <f>SUBTOTAL(103,$C$7:C236)</f>
        <v>230</v>
      </c>
      <c r="B236" s="1257"/>
      <c r="C236" s="1257" t="s">
        <v>600</v>
      </c>
      <c r="D236" s="1291" t="s">
        <v>2</v>
      </c>
      <c r="E236" s="1257" t="s">
        <v>50</v>
      </c>
      <c r="F236" s="1259" t="s">
        <v>255</v>
      </c>
      <c r="G236" s="1259" t="s">
        <v>255</v>
      </c>
      <c r="H236" s="1257" t="s">
        <v>255</v>
      </c>
      <c r="I236" s="1257" t="s">
        <v>1758</v>
      </c>
      <c r="J236" s="1262" t="s">
        <v>1758</v>
      </c>
      <c r="K236" s="1257" t="s">
        <v>311</v>
      </c>
      <c r="L236" s="1257"/>
    </row>
    <row r="237" spans="1:12">
      <c r="A237" s="1257">
        <f>SUBTOTAL(103,$C$7:C237)</f>
        <v>231</v>
      </c>
      <c r="B237" s="1257" t="s">
        <v>601</v>
      </c>
      <c r="C237" s="1257" t="s">
        <v>8</v>
      </c>
      <c r="D237" s="1291" t="s">
        <v>228</v>
      </c>
      <c r="E237" s="1257" t="s">
        <v>50</v>
      </c>
      <c r="F237" s="1259" t="s">
        <v>255</v>
      </c>
      <c r="G237" s="1259" t="s">
        <v>255</v>
      </c>
      <c r="H237" s="1257" t="s">
        <v>255</v>
      </c>
      <c r="I237" s="1257" t="s">
        <v>1758</v>
      </c>
      <c r="J237" s="1262" t="s">
        <v>1758</v>
      </c>
      <c r="K237" s="1257" t="s">
        <v>311</v>
      </c>
      <c r="L237" s="1257"/>
    </row>
    <row r="238" spans="1:12">
      <c r="A238" s="1255">
        <f>SUBTOTAL(103,$C$7:C238)</f>
        <v>232</v>
      </c>
      <c r="B238" s="1255"/>
      <c r="C238" s="1257" t="s">
        <v>1071</v>
      </c>
      <c r="D238" s="1293" t="s">
        <v>211</v>
      </c>
      <c r="E238" s="1257" t="s">
        <v>50</v>
      </c>
      <c r="F238" s="1252" t="s">
        <v>255</v>
      </c>
      <c r="G238" s="1255"/>
      <c r="H238" s="1255" t="s">
        <v>255</v>
      </c>
      <c r="I238" s="1257" t="s">
        <v>1758</v>
      </c>
      <c r="J238" s="1290" t="s">
        <v>1758</v>
      </c>
      <c r="K238" s="1255"/>
      <c r="L238" s="1255"/>
    </row>
    <row r="239" spans="1:12">
      <c r="A239" s="1257">
        <f>SUBTOTAL(103,$C$7:C239)</f>
        <v>233</v>
      </c>
      <c r="B239" s="1257"/>
      <c r="C239" s="1257" t="s">
        <v>1072</v>
      </c>
      <c r="D239" s="1291" t="s">
        <v>2</v>
      </c>
      <c r="E239" s="1257" t="s">
        <v>50</v>
      </c>
      <c r="F239" s="1259" t="s">
        <v>255</v>
      </c>
      <c r="G239" s="1259" t="s">
        <v>255</v>
      </c>
      <c r="H239" s="1257" t="s">
        <v>255</v>
      </c>
      <c r="I239" s="1257" t="s">
        <v>1758</v>
      </c>
      <c r="J239" s="1262" t="s">
        <v>1758</v>
      </c>
      <c r="K239" s="1257"/>
      <c r="L239" s="1257"/>
    </row>
    <row r="240" spans="1:12">
      <c r="A240" s="1257">
        <f>SUBTOTAL(103,$C$7:C240)</f>
        <v>234</v>
      </c>
      <c r="B240" s="1257"/>
      <c r="C240" s="1257" t="s">
        <v>1777</v>
      </c>
      <c r="D240" s="1291" t="s">
        <v>215</v>
      </c>
      <c r="E240" s="1257" t="s">
        <v>50</v>
      </c>
      <c r="F240" s="1259" t="s">
        <v>255</v>
      </c>
      <c r="G240" s="1259" t="s">
        <v>255</v>
      </c>
      <c r="H240" s="1257"/>
      <c r="I240" s="1257"/>
      <c r="J240" s="1257"/>
      <c r="K240" s="1257"/>
      <c r="L240" s="1257"/>
    </row>
    <row r="241" spans="1:12">
      <c r="A241" s="1257">
        <f>SUBTOTAL(103,$C$7:C241)</f>
        <v>235</v>
      </c>
      <c r="B241" s="1257"/>
      <c r="C241" s="1257" t="s">
        <v>1778</v>
      </c>
      <c r="D241" s="1291" t="s">
        <v>430</v>
      </c>
      <c r="E241" s="1257" t="s">
        <v>50</v>
      </c>
      <c r="F241" s="1259" t="s">
        <v>255</v>
      </c>
      <c r="G241" s="1259" t="s">
        <v>255</v>
      </c>
      <c r="H241" s="1257"/>
      <c r="I241" s="1257"/>
      <c r="J241" s="1257"/>
      <c r="K241" s="1257"/>
      <c r="L241" s="1257"/>
    </row>
    <row r="242" spans="1:12">
      <c r="A242" s="1257">
        <f>SUBTOTAL(103,$C$7:C242)</f>
        <v>236</v>
      </c>
      <c r="B242" s="1257"/>
      <c r="C242" s="1257" t="s">
        <v>1779</v>
      </c>
      <c r="D242" s="1291" t="s">
        <v>215</v>
      </c>
      <c r="E242" s="1257" t="s">
        <v>50</v>
      </c>
      <c r="F242" s="1259" t="s">
        <v>255</v>
      </c>
      <c r="G242" s="1259" t="s">
        <v>255</v>
      </c>
      <c r="H242" s="1257"/>
      <c r="I242" s="1257"/>
      <c r="J242" s="1257"/>
      <c r="K242" s="1257"/>
      <c r="L242" s="1257"/>
    </row>
    <row r="243" spans="1:12">
      <c r="A243" s="1257">
        <f>SUBTOTAL(103,$C$7:C243)</f>
        <v>237</v>
      </c>
      <c r="B243" s="1257"/>
      <c r="C243" s="1257" t="s">
        <v>604</v>
      </c>
      <c r="D243" s="1291" t="s">
        <v>2</v>
      </c>
      <c r="E243" s="1257" t="s">
        <v>50</v>
      </c>
      <c r="F243" s="1259" t="s">
        <v>255</v>
      </c>
      <c r="G243" s="1259" t="s">
        <v>255</v>
      </c>
      <c r="H243" s="1257" t="s">
        <v>255</v>
      </c>
      <c r="I243" s="1257"/>
      <c r="J243" s="1262" t="s">
        <v>1758</v>
      </c>
      <c r="K243" s="1257"/>
      <c r="L243" s="1257"/>
    </row>
    <row r="244" spans="1:12">
      <c r="A244" s="1257">
        <f>SUBTOTAL(103,$C$7:C244)</f>
        <v>238</v>
      </c>
      <c r="B244" s="1257"/>
      <c r="C244" s="1257" t="s">
        <v>605</v>
      </c>
      <c r="D244" s="1291" t="s">
        <v>154</v>
      </c>
      <c r="E244" s="1257" t="s">
        <v>50</v>
      </c>
      <c r="F244" s="1259" t="s">
        <v>255</v>
      </c>
      <c r="G244" s="1259" t="s">
        <v>255</v>
      </c>
      <c r="H244" s="1257" t="s">
        <v>255</v>
      </c>
      <c r="I244" s="1257" t="s">
        <v>1758</v>
      </c>
      <c r="J244" s="1262" t="s">
        <v>1758</v>
      </c>
      <c r="K244" s="1257"/>
      <c r="L244" s="1257"/>
    </row>
    <row r="245" spans="1:12">
      <c r="A245" s="1257">
        <f>SUBTOTAL(103,$C$7:C245)</f>
        <v>239</v>
      </c>
      <c r="B245" s="1257"/>
      <c r="C245" s="1257" t="s">
        <v>606</v>
      </c>
      <c r="D245" s="1291" t="s">
        <v>49</v>
      </c>
      <c r="E245" s="1257" t="s">
        <v>50</v>
      </c>
      <c r="F245" s="1259" t="s">
        <v>255</v>
      </c>
      <c r="G245" s="1259" t="s">
        <v>255</v>
      </c>
      <c r="H245" s="1257" t="s">
        <v>255</v>
      </c>
      <c r="I245" s="1257" t="s">
        <v>1758</v>
      </c>
      <c r="J245" s="1262" t="s">
        <v>1758</v>
      </c>
      <c r="K245" s="1257"/>
      <c r="L245" s="1257"/>
    </row>
    <row r="246" spans="1:12">
      <c r="A246" s="1257">
        <f>SUBTOTAL(103,$C$7:C246)</f>
        <v>240</v>
      </c>
      <c r="B246" s="1257"/>
      <c r="C246" s="1257" t="s">
        <v>607</v>
      </c>
      <c r="D246" s="1291" t="s">
        <v>2</v>
      </c>
      <c r="E246" s="1257" t="s">
        <v>50</v>
      </c>
      <c r="F246" s="1259" t="s">
        <v>255</v>
      </c>
      <c r="G246" s="1259" t="s">
        <v>255</v>
      </c>
      <c r="H246" s="1257" t="s">
        <v>255</v>
      </c>
      <c r="I246" s="1257" t="s">
        <v>1758</v>
      </c>
      <c r="J246" s="1262" t="s">
        <v>1758</v>
      </c>
      <c r="K246" s="1257"/>
      <c r="L246" s="1257"/>
    </row>
    <row r="247" spans="1:12">
      <c r="A247" s="1257">
        <f>SUBTOTAL(103,$C$7:C247)</f>
        <v>241</v>
      </c>
      <c r="B247" s="1257" t="s">
        <v>792</v>
      </c>
      <c r="C247" s="1257" t="s">
        <v>777</v>
      </c>
      <c r="D247" s="1291" t="s">
        <v>197</v>
      </c>
      <c r="E247" s="1257" t="s">
        <v>50</v>
      </c>
      <c r="F247" s="1259" t="s">
        <v>255</v>
      </c>
      <c r="G247" s="1259" t="s">
        <v>255</v>
      </c>
      <c r="H247" s="1257" t="s">
        <v>255</v>
      </c>
      <c r="I247" s="1257" t="s">
        <v>1758</v>
      </c>
      <c r="J247" s="1257" t="s">
        <v>1758</v>
      </c>
      <c r="K247" s="1257" t="s">
        <v>1758</v>
      </c>
      <c r="L247" s="1257"/>
    </row>
    <row r="248" spans="1:12">
      <c r="A248" s="1257">
        <f>SUBTOTAL(103,$C$7:C248)</f>
        <v>242</v>
      </c>
      <c r="B248" s="1257"/>
      <c r="C248" s="1257" t="s">
        <v>778</v>
      </c>
      <c r="D248" s="1291" t="s">
        <v>2</v>
      </c>
      <c r="E248" s="1257" t="s">
        <v>50</v>
      </c>
      <c r="F248" s="1259" t="s">
        <v>255</v>
      </c>
      <c r="G248" s="1259" t="s">
        <v>255</v>
      </c>
      <c r="H248" s="1257" t="s">
        <v>255</v>
      </c>
      <c r="I248" s="1257" t="s">
        <v>1758</v>
      </c>
      <c r="J248" s="1257" t="s">
        <v>1758</v>
      </c>
      <c r="K248" s="1257" t="s">
        <v>1758</v>
      </c>
      <c r="L248" s="1257"/>
    </row>
    <row r="249" spans="1:12">
      <c r="A249" s="1257">
        <f>SUBTOTAL(103,$C$7:C249)</f>
        <v>243</v>
      </c>
      <c r="B249" s="1257"/>
      <c r="C249" s="1257" t="s">
        <v>779</v>
      </c>
      <c r="D249" s="1291" t="s">
        <v>170</v>
      </c>
      <c r="E249" s="1257" t="s">
        <v>50</v>
      </c>
      <c r="F249" s="1259" t="s">
        <v>255</v>
      </c>
      <c r="G249" s="1259" t="s">
        <v>255</v>
      </c>
      <c r="H249" s="1257" t="s">
        <v>255</v>
      </c>
      <c r="I249" s="1257" t="s">
        <v>1758</v>
      </c>
      <c r="J249" s="1257" t="s">
        <v>1758</v>
      </c>
      <c r="K249" s="1257" t="s">
        <v>1758</v>
      </c>
      <c r="L249" s="1257"/>
    </row>
    <row r="250" spans="1:12">
      <c r="A250" s="1257">
        <f>SUBTOTAL(103,$C$7:C250)</f>
        <v>244</v>
      </c>
      <c r="B250" s="1257"/>
      <c r="C250" s="1257" t="s">
        <v>780</v>
      </c>
      <c r="D250" s="1291" t="s">
        <v>2</v>
      </c>
      <c r="E250" s="1257" t="s">
        <v>50</v>
      </c>
      <c r="F250" s="1259" t="s">
        <v>255</v>
      </c>
      <c r="G250" s="1259" t="s">
        <v>255</v>
      </c>
      <c r="H250" s="1257" t="s">
        <v>255</v>
      </c>
      <c r="I250" s="1257" t="s">
        <v>1758</v>
      </c>
      <c r="J250" s="1257" t="s">
        <v>1758</v>
      </c>
      <c r="K250" s="1257" t="s">
        <v>1758</v>
      </c>
      <c r="L250" s="1257"/>
    </row>
    <row r="251" spans="1:12">
      <c r="A251" s="1257">
        <f>SUBTOTAL(103,$C$7:C251)</f>
        <v>245</v>
      </c>
      <c r="B251" s="1257"/>
      <c r="C251" s="1257" t="s">
        <v>781</v>
      </c>
      <c r="D251" s="1291" t="s">
        <v>49</v>
      </c>
      <c r="E251" s="1257" t="s">
        <v>50</v>
      </c>
      <c r="F251" s="1259" t="s">
        <v>255</v>
      </c>
      <c r="G251" s="1259" t="s">
        <v>255</v>
      </c>
      <c r="H251" s="1257" t="s">
        <v>255</v>
      </c>
      <c r="I251" s="1257" t="s">
        <v>1758</v>
      </c>
      <c r="J251" s="1257" t="s">
        <v>1758</v>
      </c>
      <c r="K251" s="1257" t="s">
        <v>1758</v>
      </c>
      <c r="L251" s="1257"/>
    </row>
    <row r="252" spans="1:12">
      <c r="A252" s="1257">
        <f>SUBTOTAL(103,$C$7:C252)</f>
        <v>246</v>
      </c>
      <c r="B252" s="1257"/>
      <c r="C252" s="1257" t="s">
        <v>782</v>
      </c>
      <c r="D252" s="1291" t="s">
        <v>2</v>
      </c>
      <c r="E252" s="1257" t="s">
        <v>50</v>
      </c>
      <c r="F252" s="1259" t="s">
        <v>255</v>
      </c>
      <c r="G252" s="1259" t="s">
        <v>255</v>
      </c>
      <c r="H252" s="1257" t="s">
        <v>255</v>
      </c>
      <c r="I252" s="1257" t="s">
        <v>1758</v>
      </c>
      <c r="J252" s="1257" t="s">
        <v>1758</v>
      </c>
      <c r="K252" s="1257" t="s">
        <v>1758</v>
      </c>
      <c r="L252" s="1257"/>
    </row>
    <row r="253" spans="1:12">
      <c r="A253" s="1257">
        <f>SUBTOTAL(103,$C$7:C253)</f>
        <v>247</v>
      </c>
      <c r="B253" s="1257"/>
      <c r="C253" s="1257" t="s">
        <v>783</v>
      </c>
      <c r="D253" s="1291" t="s">
        <v>2</v>
      </c>
      <c r="E253" s="1257" t="s">
        <v>50</v>
      </c>
      <c r="F253" s="1259" t="s">
        <v>255</v>
      </c>
      <c r="G253" s="1259" t="s">
        <v>255</v>
      </c>
      <c r="H253" s="1257" t="s">
        <v>255</v>
      </c>
      <c r="I253" s="1257" t="s">
        <v>1758</v>
      </c>
      <c r="J253" s="1257" t="s">
        <v>1758</v>
      </c>
      <c r="K253" s="1257" t="s">
        <v>1758</v>
      </c>
      <c r="L253" s="1257"/>
    </row>
    <row r="254" spans="1:12">
      <c r="A254" s="1257">
        <f>SUBTOTAL(103,$C$7:C254)</f>
        <v>248</v>
      </c>
      <c r="B254" s="1257" t="s">
        <v>608</v>
      </c>
      <c r="C254" s="1257" t="s">
        <v>72</v>
      </c>
      <c r="D254" s="1291" t="s">
        <v>226</v>
      </c>
      <c r="E254" s="1257" t="s">
        <v>50</v>
      </c>
      <c r="F254" s="1259" t="s">
        <v>255</v>
      </c>
      <c r="G254" s="1259" t="s">
        <v>255</v>
      </c>
      <c r="H254" s="1257" t="s">
        <v>255</v>
      </c>
      <c r="I254" s="1257" t="s">
        <v>1758</v>
      </c>
      <c r="J254" s="1257" t="s">
        <v>1758</v>
      </c>
      <c r="K254" s="1257" t="s">
        <v>1758</v>
      </c>
      <c r="L254" s="1257"/>
    </row>
    <row r="255" spans="1:12">
      <c r="A255" s="1257">
        <f>SUBTOTAL(103,$C$7:C255)</f>
        <v>249</v>
      </c>
      <c r="B255" s="1257"/>
      <c r="C255" s="1257" t="s">
        <v>609</v>
      </c>
      <c r="D255" s="1291" t="s">
        <v>3</v>
      </c>
      <c r="E255" s="1257" t="s">
        <v>50</v>
      </c>
      <c r="F255" s="1259" t="s">
        <v>255</v>
      </c>
      <c r="G255" s="1259" t="s">
        <v>255</v>
      </c>
      <c r="H255" s="1257" t="s">
        <v>255</v>
      </c>
      <c r="I255" s="1257" t="s">
        <v>1758</v>
      </c>
      <c r="J255" s="1257" t="s">
        <v>1758</v>
      </c>
      <c r="K255" s="1257" t="s">
        <v>1758</v>
      </c>
      <c r="L255" s="1257"/>
    </row>
    <row r="256" spans="1:12">
      <c r="A256" s="1257">
        <f>SUBTOTAL(103,$C$7:C256)</f>
        <v>250</v>
      </c>
      <c r="B256" s="1257"/>
      <c r="C256" s="1257" t="s">
        <v>610</v>
      </c>
      <c r="D256" s="1291" t="s">
        <v>3</v>
      </c>
      <c r="E256" s="1257" t="s">
        <v>50</v>
      </c>
      <c r="F256" s="1259" t="s">
        <v>255</v>
      </c>
      <c r="G256" s="1259" t="s">
        <v>255</v>
      </c>
      <c r="H256" s="1257" t="s">
        <v>255</v>
      </c>
      <c r="I256" s="1257" t="s">
        <v>1758</v>
      </c>
      <c r="J256" s="1257" t="s">
        <v>1758</v>
      </c>
      <c r="K256" s="1257" t="s">
        <v>1758</v>
      </c>
      <c r="L256" s="1257"/>
    </row>
    <row r="257" spans="1:12">
      <c r="A257" s="1257">
        <f>SUBTOTAL(103,$C$7:C257)</f>
        <v>251</v>
      </c>
      <c r="B257" s="1257"/>
      <c r="C257" s="1257" t="s">
        <v>611</v>
      </c>
      <c r="D257" s="1291" t="s">
        <v>2</v>
      </c>
      <c r="E257" s="1257" t="s">
        <v>50</v>
      </c>
      <c r="F257" s="1259" t="s">
        <v>255</v>
      </c>
      <c r="G257" s="1259" t="s">
        <v>255</v>
      </c>
      <c r="H257" s="1257" t="s">
        <v>255</v>
      </c>
      <c r="I257" s="1257" t="s">
        <v>1758</v>
      </c>
      <c r="J257" s="1257" t="s">
        <v>1758</v>
      </c>
      <c r="K257" s="1257" t="s">
        <v>1758</v>
      </c>
      <c r="L257" s="1257"/>
    </row>
    <row r="258" spans="1:12">
      <c r="A258" s="1257">
        <f>SUBTOTAL(103,$C$7:C258)</f>
        <v>252</v>
      </c>
      <c r="B258" s="1257"/>
      <c r="C258" s="1257" t="s">
        <v>612</v>
      </c>
      <c r="D258" s="1291" t="s">
        <v>170</v>
      </c>
      <c r="E258" s="1257" t="s">
        <v>50</v>
      </c>
      <c r="F258" s="1259" t="s">
        <v>255</v>
      </c>
      <c r="G258" s="1259" t="s">
        <v>255</v>
      </c>
      <c r="H258" s="1257" t="s">
        <v>255</v>
      </c>
      <c r="I258" s="1257" t="s">
        <v>1758</v>
      </c>
      <c r="J258" s="1257" t="s">
        <v>1758</v>
      </c>
      <c r="K258" s="1257" t="s">
        <v>1758</v>
      </c>
      <c r="L258" s="1257"/>
    </row>
    <row r="259" spans="1:12">
      <c r="A259" s="1257">
        <f>SUBTOTAL(103,$C$7:C259)</f>
        <v>253</v>
      </c>
      <c r="B259" s="1257"/>
      <c r="C259" s="1257" t="s">
        <v>613</v>
      </c>
      <c r="D259" s="1291" t="s">
        <v>2</v>
      </c>
      <c r="E259" s="1257" t="s">
        <v>50</v>
      </c>
      <c r="F259" s="1259" t="s">
        <v>255</v>
      </c>
      <c r="G259" s="1259" t="s">
        <v>255</v>
      </c>
      <c r="H259" s="1257" t="s">
        <v>255</v>
      </c>
      <c r="I259" s="1257" t="s">
        <v>1758</v>
      </c>
      <c r="J259" s="1257" t="s">
        <v>1758</v>
      </c>
      <c r="K259" s="1257" t="s">
        <v>1758</v>
      </c>
      <c r="L259" s="1257"/>
    </row>
    <row r="260" spans="1:12">
      <c r="A260" s="1257">
        <f>SUBTOTAL(103,$C$7:C260)</f>
        <v>254</v>
      </c>
      <c r="B260" s="1257"/>
      <c r="C260" s="1257" t="s">
        <v>614</v>
      </c>
      <c r="D260" s="1291" t="s">
        <v>79</v>
      </c>
      <c r="E260" s="1257" t="s">
        <v>50</v>
      </c>
      <c r="F260" s="1259" t="s">
        <v>255</v>
      </c>
      <c r="G260" s="1259" t="s">
        <v>255</v>
      </c>
      <c r="H260" s="1257" t="s">
        <v>255</v>
      </c>
      <c r="I260" s="1257" t="s">
        <v>1758</v>
      </c>
      <c r="J260" s="1257" t="s">
        <v>1758</v>
      </c>
      <c r="K260" s="1257" t="s">
        <v>1758</v>
      </c>
      <c r="L260" s="1257"/>
    </row>
    <row r="261" spans="1:12">
      <c r="A261" s="1257">
        <f>SUBTOTAL(103,$C$7:C261)</f>
        <v>255</v>
      </c>
      <c r="B261" s="1257"/>
      <c r="C261" s="1257" t="s">
        <v>615</v>
      </c>
      <c r="D261" s="1291" t="s">
        <v>49</v>
      </c>
      <c r="E261" s="1257" t="s">
        <v>50</v>
      </c>
      <c r="F261" s="1259" t="s">
        <v>255</v>
      </c>
      <c r="G261" s="1259" t="s">
        <v>255</v>
      </c>
      <c r="H261" s="1257" t="s">
        <v>255</v>
      </c>
      <c r="I261" s="1257" t="s">
        <v>1758</v>
      </c>
      <c r="J261" s="1262" t="s">
        <v>1758</v>
      </c>
      <c r="K261" s="1257" t="s">
        <v>1758</v>
      </c>
      <c r="L261" s="1257"/>
    </row>
    <row r="262" spans="1:12">
      <c r="A262" s="1257">
        <f>SUBTOTAL(103,$C$7:C262)</f>
        <v>256</v>
      </c>
      <c r="B262" s="1257"/>
      <c r="C262" s="1257" t="s">
        <v>616</v>
      </c>
      <c r="D262" s="1291" t="s">
        <v>170</v>
      </c>
      <c r="E262" s="1257" t="s">
        <v>50</v>
      </c>
      <c r="F262" s="1259" t="s">
        <v>255</v>
      </c>
      <c r="G262" s="1259" t="s">
        <v>255</v>
      </c>
      <c r="H262" s="1257" t="s">
        <v>255</v>
      </c>
      <c r="I262" s="1257" t="s">
        <v>1758</v>
      </c>
      <c r="J262" s="1257" t="s">
        <v>1758</v>
      </c>
      <c r="K262" s="1257" t="s">
        <v>1758</v>
      </c>
      <c r="L262" s="1257"/>
    </row>
    <row r="263" spans="1:12">
      <c r="A263" s="1257">
        <f>SUBTOTAL(103,$C$7:C263)</f>
        <v>257</v>
      </c>
      <c r="B263" s="1257"/>
      <c r="C263" s="1257" t="s">
        <v>617</v>
      </c>
      <c r="D263" s="1291" t="s">
        <v>3</v>
      </c>
      <c r="E263" s="1257" t="s">
        <v>50</v>
      </c>
      <c r="F263" s="1259" t="s">
        <v>255</v>
      </c>
      <c r="G263" s="1259" t="s">
        <v>255</v>
      </c>
      <c r="H263" s="1257" t="s">
        <v>255</v>
      </c>
      <c r="I263" s="1257" t="s">
        <v>1758</v>
      </c>
      <c r="J263" s="1257" t="s">
        <v>1758</v>
      </c>
      <c r="K263" s="1257" t="s">
        <v>1758</v>
      </c>
      <c r="L263" s="1257"/>
    </row>
    <row r="264" spans="1:12">
      <c r="A264" s="1257">
        <f>SUBTOTAL(103,$C$7:C264)</f>
        <v>258</v>
      </c>
      <c r="B264" s="1257"/>
      <c r="C264" s="1257" t="s">
        <v>618</v>
      </c>
      <c r="D264" s="1291" t="s">
        <v>2</v>
      </c>
      <c r="E264" s="1257" t="s">
        <v>50</v>
      </c>
      <c r="F264" s="1259" t="s">
        <v>255</v>
      </c>
      <c r="G264" s="1259" t="s">
        <v>255</v>
      </c>
      <c r="H264" s="1257" t="s">
        <v>255</v>
      </c>
      <c r="I264" s="1257" t="s">
        <v>1758</v>
      </c>
      <c r="J264" s="1257" t="s">
        <v>1758</v>
      </c>
      <c r="K264" s="1257" t="s">
        <v>1758</v>
      </c>
      <c r="L264" s="1257"/>
    </row>
    <row r="265" spans="1:12">
      <c r="A265" s="1257">
        <f>SUBTOTAL(103,$C$7:C265)</f>
        <v>259</v>
      </c>
      <c r="B265" s="1257" t="s">
        <v>619</v>
      </c>
      <c r="C265" s="1257" t="s">
        <v>73</v>
      </c>
      <c r="D265" s="1291" t="s">
        <v>184</v>
      </c>
      <c r="E265" s="1257" t="s">
        <v>50</v>
      </c>
      <c r="F265" s="1259" t="s">
        <v>255</v>
      </c>
      <c r="G265" s="1259" t="s">
        <v>255</v>
      </c>
      <c r="H265" s="1257" t="s">
        <v>255</v>
      </c>
      <c r="I265" s="1257" t="s">
        <v>1758</v>
      </c>
      <c r="J265" s="1257" t="s">
        <v>1758</v>
      </c>
      <c r="K265" s="1257" t="s">
        <v>1758</v>
      </c>
      <c r="L265" s="1257"/>
    </row>
    <row r="266" spans="1:12">
      <c r="A266" s="1257">
        <f>SUBTOTAL(103,$C$7:C266)</f>
        <v>260</v>
      </c>
      <c r="B266" s="1257"/>
      <c r="C266" s="1257" t="s">
        <v>620</v>
      </c>
      <c r="D266" s="1291" t="s">
        <v>154</v>
      </c>
      <c r="E266" s="1257" t="s">
        <v>50</v>
      </c>
      <c r="F266" s="1259" t="s">
        <v>255</v>
      </c>
      <c r="G266" s="1259" t="s">
        <v>255</v>
      </c>
      <c r="H266" s="1257" t="s">
        <v>255</v>
      </c>
      <c r="I266" s="1257" t="s">
        <v>1758</v>
      </c>
      <c r="J266" s="1257" t="s">
        <v>1758</v>
      </c>
      <c r="K266" s="1257" t="s">
        <v>1758</v>
      </c>
      <c r="L266" s="1257"/>
    </row>
    <row r="267" spans="1:12">
      <c r="A267" s="1257">
        <f>SUBTOTAL(103,$C$7:C267)</f>
        <v>261</v>
      </c>
      <c r="B267" s="1257"/>
      <c r="C267" s="1257" t="s">
        <v>621</v>
      </c>
      <c r="D267" s="1291" t="s">
        <v>2</v>
      </c>
      <c r="E267" s="1257" t="s">
        <v>50</v>
      </c>
      <c r="F267" s="1259" t="s">
        <v>255</v>
      </c>
      <c r="G267" s="1259" t="s">
        <v>255</v>
      </c>
      <c r="H267" s="1257" t="s">
        <v>255</v>
      </c>
      <c r="I267" s="1257" t="s">
        <v>1758</v>
      </c>
      <c r="J267" s="1257" t="s">
        <v>1758</v>
      </c>
      <c r="K267" s="1257" t="s">
        <v>1758</v>
      </c>
      <c r="L267" s="1257"/>
    </row>
    <row r="268" spans="1:12">
      <c r="A268" s="1257">
        <f>SUBTOTAL(103,$C$7:C268)</f>
        <v>262</v>
      </c>
      <c r="B268" s="1257"/>
      <c r="C268" s="1257" t="s">
        <v>622</v>
      </c>
      <c r="D268" s="1291" t="s">
        <v>170</v>
      </c>
      <c r="E268" s="1257" t="s">
        <v>50</v>
      </c>
      <c r="F268" s="1259" t="s">
        <v>255</v>
      </c>
      <c r="G268" s="1259" t="s">
        <v>255</v>
      </c>
      <c r="H268" s="1257" t="s">
        <v>255</v>
      </c>
      <c r="I268" s="1257" t="s">
        <v>1758</v>
      </c>
      <c r="J268" s="1257" t="s">
        <v>1758</v>
      </c>
      <c r="K268" s="1257" t="s">
        <v>1758</v>
      </c>
      <c r="L268" s="1257"/>
    </row>
    <row r="269" spans="1:12">
      <c r="A269" s="1257">
        <f>SUBTOTAL(103,$C$7:C269)</f>
        <v>263</v>
      </c>
      <c r="B269" s="1257"/>
      <c r="C269" s="1257" t="s">
        <v>623</v>
      </c>
      <c r="D269" s="1291" t="s">
        <v>2</v>
      </c>
      <c r="E269" s="1257" t="s">
        <v>50</v>
      </c>
      <c r="F269" s="1259" t="s">
        <v>255</v>
      </c>
      <c r="G269" s="1259" t="s">
        <v>255</v>
      </c>
      <c r="H269" s="1257" t="s">
        <v>255</v>
      </c>
      <c r="I269" s="1257" t="s">
        <v>1758</v>
      </c>
      <c r="J269" s="1257" t="s">
        <v>1758</v>
      </c>
      <c r="K269" s="1257" t="s">
        <v>1758</v>
      </c>
      <c r="L269" s="1257"/>
    </row>
    <row r="270" spans="1:12">
      <c r="A270" s="1257">
        <f>SUBTOTAL(103,$C$7:C270)</f>
        <v>264</v>
      </c>
      <c r="B270" s="1257"/>
      <c r="C270" s="1257" t="s">
        <v>624</v>
      </c>
      <c r="D270" s="1291" t="s">
        <v>170</v>
      </c>
      <c r="E270" s="1257" t="s">
        <v>50</v>
      </c>
      <c r="F270" s="1259" t="s">
        <v>255</v>
      </c>
      <c r="G270" s="1259" t="s">
        <v>255</v>
      </c>
      <c r="H270" s="1257" t="s">
        <v>255</v>
      </c>
      <c r="I270" s="1257" t="s">
        <v>1758</v>
      </c>
      <c r="J270" s="1257" t="s">
        <v>1758</v>
      </c>
      <c r="K270" s="1257" t="s">
        <v>1758</v>
      </c>
      <c r="L270" s="1257"/>
    </row>
    <row r="271" spans="1:12">
      <c r="A271" s="1257">
        <f>SUBTOTAL(103,$C$7:C271)</f>
        <v>265</v>
      </c>
      <c r="B271" s="1257"/>
      <c r="C271" s="1257" t="s">
        <v>625</v>
      </c>
      <c r="D271" s="1291" t="s">
        <v>170</v>
      </c>
      <c r="E271" s="1257" t="s">
        <v>50</v>
      </c>
      <c r="F271" s="1259" t="s">
        <v>255</v>
      </c>
      <c r="G271" s="1259" t="s">
        <v>255</v>
      </c>
      <c r="H271" s="1257" t="s">
        <v>255</v>
      </c>
      <c r="I271" s="1257" t="s">
        <v>1758</v>
      </c>
      <c r="J271" s="1257" t="s">
        <v>1758</v>
      </c>
      <c r="K271" s="1257" t="s">
        <v>1758</v>
      </c>
      <c r="L271" s="1257"/>
    </row>
    <row r="272" spans="1:12">
      <c r="A272" s="1257">
        <f>SUBTOTAL(103,$C$7:C272)</f>
        <v>266</v>
      </c>
      <c r="B272" s="1257"/>
      <c r="C272" s="1257" t="s">
        <v>626</v>
      </c>
      <c r="D272" s="1291" t="s">
        <v>2</v>
      </c>
      <c r="E272" s="1257" t="s">
        <v>50</v>
      </c>
      <c r="F272" s="1259" t="s">
        <v>255</v>
      </c>
      <c r="G272" s="1259" t="s">
        <v>255</v>
      </c>
      <c r="H272" s="1257" t="s">
        <v>255</v>
      </c>
      <c r="I272" s="1257" t="s">
        <v>1758</v>
      </c>
      <c r="J272" s="1257" t="s">
        <v>1758</v>
      </c>
      <c r="K272" s="1257" t="s">
        <v>1758</v>
      </c>
      <c r="L272" s="1257"/>
    </row>
    <row r="273" spans="1:12">
      <c r="A273" s="1257">
        <f>SUBTOTAL(103,$C$7:C273)</f>
        <v>267</v>
      </c>
      <c r="B273" s="1257"/>
      <c r="C273" s="1257" t="s">
        <v>627</v>
      </c>
      <c r="D273" s="1291" t="s">
        <v>170</v>
      </c>
      <c r="E273" s="1257" t="s">
        <v>50</v>
      </c>
      <c r="F273" s="1259" t="s">
        <v>255</v>
      </c>
      <c r="G273" s="1259" t="s">
        <v>255</v>
      </c>
      <c r="H273" s="1257" t="s">
        <v>255</v>
      </c>
      <c r="I273" s="1257" t="s">
        <v>1758</v>
      </c>
      <c r="J273" s="1257" t="s">
        <v>1758</v>
      </c>
      <c r="K273" s="1257" t="s">
        <v>1758</v>
      </c>
      <c r="L273" s="1257"/>
    </row>
    <row r="274" spans="1:12">
      <c r="A274" s="1257">
        <f>SUBTOTAL(103,$C$7:C274)</f>
        <v>268</v>
      </c>
      <c r="B274" s="1257"/>
      <c r="C274" s="1257" t="s">
        <v>628</v>
      </c>
      <c r="D274" s="1291" t="s">
        <v>79</v>
      </c>
      <c r="E274" s="1257" t="s">
        <v>50</v>
      </c>
      <c r="F274" s="1259" t="s">
        <v>255</v>
      </c>
      <c r="G274" s="1259" t="s">
        <v>255</v>
      </c>
      <c r="H274" s="1257" t="s">
        <v>255</v>
      </c>
      <c r="I274" s="1257" t="s">
        <v>1758</v>
      </c>
      <c r="J274" s="1257" t="s">
        <v>1758</v>
      </c>
      <c r="K274" s="1257" t="s">
        <v>1758</v>
      </c>
      <c r="L274" s="1257"/>
    </row>
    <row r="275" spans="1:12">
      <c r="A275" s="1257">
        <f>SUBTOTAL(103,$C$7:C275)</f>
        <v>269</v>
      </c>
      <c r="B275" s="1257"/>
      <c r="C275" s="1257" t="s">
        <v>629</v>
      </c>
      <c r="D275" s="1291" t="s">
        <v>2</v>
      </c>
      <c r="E275" s="1257" t="s">
        <v>50</v>
      </c>
      <c r="F275" s="1259" t="s">
        <v>255</v>
      </c>
      <c r="G275" s="1259" t="s">
        <v>255</v>
      </c>
      <c r="H275" s="1257" t="s">
        <v>255</v>
      </c>
      <c r="I275" s="1257" t="s">
        <v>1758</v>
      </c>
      <c r="J275" s="1257" t="s">
        <v>1758</v>
      </c>
      <c r="K275" s="1257" t="s">
        <v>1758</v>
      </c>
      <c r="L275" s="1257"/>
    </row>
    <row r="276" spans="1:12">
      <c r="A276" s="1257">
        <f>SUBTOTAL(103,$C$7:C276)</f>
        <v>270</v>
      </c>
      <c r="B276" s="1257"/>
      <c r="C276" s="1257" t="s">
        <v>630</v>
      </c>
      <c r="D276" s="1291" t="s">
        <v>79</v>
      </c>
      <c r="E276" s="1257" t="s">
        <v>50</v>
      </c>
      <c r="F276" s="1259" t="s">
        <v>255</v>
      </c>
      <c r="G276" s="1259" t="s">
        <v>255</v>
      </c>
      <c r="H276" s="1257" t="s">
        <v>255</v>
      </c>
      <c r="I276" s="1257" t="s">
        <v>1758</v>
      </c>
      <c r="J276" s="1257" t="s">
        <v>1758</v>
      </c>
      <c r="K276" s="1257" t="s">
        <v>1758</v>
      </c>
      <c r="L276" s="1257"/>
    </row>
    <row r="277" spans="1:12">
      <c r="A277" s="1257">
        <f>SUBTOTAL(103,$C$7:C277)</f>
        <v>271</v>
      </c>
      <c r="B277" s="1257" t="s">
        <v>631</v>
      </c>
      <c r="C277" s="1257" t="s">
        <v>74</v>
      </c>
      <c r="D277" s="1291" t="s">
        <v>227</v>
      </c>
      <c r="E277" s="1257" t="s">
        <v>50</v>
      </c>
      <c r="F277" s="1259" t="s">
        <v>255</v>
      </c>
      <c r="G277" s="1259" t="s">
        <v>255</v>
      </c>
      <c r="H277" s="1257" t="s">
        <v>255</v>
      </c>
      <c r="I277" s="1257" t="s">
        <v>1758</v>
      </c>
      <c r="J277" s="1257" t="s">
        <v>1758</v>
      </c>
      <c r="K277" s="1257" t="s">
        <v>1758</v>
      </c>
      <c r="L277" s="1257"/>
    </row>
    <row r="278" spans="1:12">
      <c r="A278" s="1257">
        <f>SUBTOTAL(103,$C$7:C278)</f>
        <v>272</v>
      </c>
      <c r="B278" s="1257"/>
      <c r="C278" s="1257" t="s">
        <v>206</v>
      </c>
      <c r="D278" s="1291" t="s">
        <v>49</v>
      </c>
      <c r="E278" s="1257" t="s">
        <v>50</v>
      </c>
      <c r="F278" s="1259" t="s">
        <v>255</v>
      </c>
      <c r="G278" s="1259" t="s">
        <v>255</v>
      </c>
      <c r="H278" s="1257" t="s">
        <v>255</v>
      </c>
      <c r="I278" s="1257"/>
      <c r="J278" s="1260" t="s">
        <v>1543</v>
      </c>
      <c r="K278" s="1257"/>
      <c r="L278" s="1257"/>
    </row>
    <row r="279" spans="1:12">
      <c r="A279" s="1257">
        <f>SUBTOTAL(103,$C$7:C279)</f>
        <v>273</v>
      </c>
      <c r="B279" s="1257"/>
      <c r="C279" s="1257" t="s">
        <v>207</v>
      </c>
      <c r="D279" s="1291" t="s">
        <v>79</v>
      </c>
      <c r="E279" s="1257" t="s">
        <v>50</v>
      </c>
      <c r="F279" s="1259" t="s">
        <v>255</v>
      </c>
      <c r="G279" s="1259" t="s">
        <v>255</v>
      </c>
      <c r="H279" s="1257" t="s">
        <v>255</v>
      </c>
      <c r="I279" s="1257" t="s">
        <v>1758</v>
      </c>
      <c r="J279" s="1257" t="s">
        <v>1758</v>
      </c>
      <c r="K279" s="1257"/>
      <c r="L279" s="1257"/>
    </row>
    <row r="280" spans="1:12">
      <c r="A280" s="1257">
        <f>SUBTOTAL(103,$C$7:C280)</f>
        <v>274</v>
      </c>
      <c r="B280" s="1257"/>
      <c r="C280" s="1257" t="s">
        <v>5</v>
      </c>
      <c r="D280" s="1291" t="s">
        <v>2</v>
      </c>
      <c r="E280" s="1257" t="s">
        <v>50</v>
      </c>
      <c r="F280" s="1259" t="s">
        <v>255</v>
      </c>
      <c r="G280" s="1259" t="s">
        <v>255</v>
      </c>
      <c r="H280" s="1257" t="s">
        <v>255</v>
      </c>
      <c r="I280" s="1257" t="s">
        <v>1758</v>
      </c>
      <c r="J280" s="1257" t="s">
        <v>1758</v>
      </c>
      <c r="K280" s="1257"/>
      <c r="L280" s="1257"/>
    </row>
    <row r="281" spans="1:12">
      <c r="A281" s="1257">
        <f>SUBTOTAL(103,$C$7:C281)</f>
        <v>275</v>
      </c>
      <c r="B281" s="1257"/>
      <c r="C281" s="1257" t="s">
        <v>6</v>
      </c>
      <c r="D281" s="1291" t="s">
        <v>79</v>
      </c>
      <c r="E281" s="1257" t="s">
        <v>50</v>
      </c>
      <c r="F281" s="1259" t="s">
        <v>255</v>
      </c>
      <c r="G281" s="1259" t="s">
        <v>255</v>
      </c>
      <c r="H281" s="1257" t="s">
        <v>255</v>
      </c>
      <c r="I281" s="1257" t="s">
        <v>1758</v>
      </c>
      <c r="J281" s="1257" t="s">
        <v>1758</v>
      </c>
      <c r="K281" s="1257"/>
      <c r="L281" s="1257"/>
    </row>
    <row r="282" spans="1:12">
      <c r="A282" s="1257">
        <f>SUBTOTAL(103,$C$7:C282)</f>
        <v>276</v>
      </c>
      <c r="B282" s="1257"/>
      <c r="C282" s="1257" t="s">
        <v>632</v>
      </c>
      <c r="D282" s="1291" t="s">
        <v>49</v>
      </c>
      <c r="E282" s="1257" t="s">
        <v>50</v>
      </c>
      <c r="F282" s="1259" t="s">
        <v>255</v>
      </c>
      <c r="G282" s="1259" t="s">
        <v>255</v>
      </c>
      <c r="H282" s="1257" t="s">
        <v>255</v>
      </c>
      <c r="I282" s="1257" t="s">
        <v>1758</v>
      </c>
      <c r="J282" s="1257" t="s">
        <v>1758</v>
      </c>
      <c r="K282" s="1257"/>
      <c r="L282" s="1257"/>
    </row>
    <row r="283" spans="1:12">
      <c r="A283" s="1257">
        <f>SUBTOTAL(103,$C$7:C283)</f>
        <v>277</v>
      </c>
      <c r="B283" s="1257"/>
      <c r="C283" s="1257" t="s">
        <v>633</v>
      </c>
      <c r="D283" s="1291" t="s">
        <v>49</v>
      </c>
      <c r="E283" s="1257" t="s">
        <v>50</v>
      </c>
      <c r="F283" s="1259" t="s">
        <v>255</v>
      </c>
      <c r="G283" s="1259" t="s">
        <v>255</v>
      </c>
      <c r="H283" s="1257" t="s">
        <v>255</v>
      </c>
      <c r="I283" s="1257" t="s">
        <v>1758</v>
      </c>
      <c r="J283" s="1257" t="s">
        <v>1758</v>
      </c>
      <c r="K283" s="1257"/>
      <c r="L283" s="1257"/>
    </row>
    <row r="284" spans="1:12">
      <c r="A284" s="1257">
        <f>SUBTOTAL(103,$C$7:C284)</f>
        <v>278</v>
      </c>
      <c r="B284" s="1257"/>
      <c r="C284" s="1257" t="s">
        <v>634</v>
      </c>
      <c r="D284" s="1291" t="s">
        <v>2</v>
      </c>
      <c r="E284" s="1257" t="s">
        <v>50</v>
      </c>
      <c r="F284" s="1259" t="s">
        <v>255</v>
      </c>
      <c r="G284" s="1259" t="s">
        <v>255</v>
      </c>
      <c r="H284" s="1257" t="s">
        <v>255</v>
      </c>
      <c r="I284" s="1257"/>
      <c r="J284" s="1257" t="s">
        <v>1758</v>
      </c>
      <c r="K284" s="1257"/>
      <c r="L284" s="1257"/>
    </row>
    <row r="285" spans="1:12">
      <c r="A285" s="1257">
        <f>SUBTOTAL(103,$C$7:C285)</f>
        <v>279</v>
      </c>
      <c r="B285" s="1257"/>
      <c r="C285" s="1257" t="s">
        <v>635</v>
      </c>
      <c r="D285" s="1291" t="s">
        <v>154</v>
      </c>
      <c r="E285" s="1257" t="s">
        <v>50</v>
      </c>
      <c r="F285" s="1259" t="s">
        <v>255</v>
      </c>
      <c r="G285" s="1259" t="s">
        <v>255</v>
      </c>
      <c r="H285" s="1257" t="s">
        <v>255</v>
      </c>
      <c r="I285" s="1257"/>
      <c r="J285" s="1260" t="s">
        <v>1543</v>
      </c>
      <c r="K285" s="1257"/>
      <c r="L285" s="1257"/>
    </row>
    <row r="286" spans="1:12">
      <c r="A286" s="1257">
        <f>SUBTOTAL(103,$C$7:C286)</f>
        <v>280</v>
      </c>
      <c r="B286" s="1257"/>
      <c r="C286" s="1257" t="s">
        <v>636</v>
      </c>
      <c r="D286" s="1291" t="s">
        <v>49</v>
      </c>
      <c r="E286" s="1257" t="s">
        <v>50</v>
      </c>
      <c r="F286" s="1259" t="s">
        <v>255</v>
      </c>
      <c r="G286" s="1259" t="s">
        <v>255</v>
      </c>
      <c r="H286" s="1257" t="s">
        <v>255</v>
      </c>
      <c r="I286" s="1257"/>
      <c r="J286" s="1390" t="s">
        <v>1758</v>
      </c>
      <c r="K286" s="1257"/>
      <c r="L286" s="1257"/>
    </row>
    <row r="287" spans="1:12">
      <c r="A287" s="1257">
        <f>SUBTOTAL(103,$C$7:C287)</f>
        <v>281</v>
      </c>
      <c r="B287" s="1257"/>
      <c r="C287" s="1257" t="s">
        <v>637</v>
      </c>
      <c r="D287" s="1291" t="s">
        <v>2</v>
      </c>
      <c r="E287" s="1257" t="s">
        <v>50</v>
      </c>
      <c r="F287" s="1259" t="s">
        <v>255</v>
      </c>
      <c r="G287" s="1259" t="s">
        <v>255</v>
      </c>
      <c r="H287" s="1257" t="s">
        <v>255</v>
      </c>
      <c r="I287" s="1257"/>
      <c r="J287" s="1390" t="s">
        <v>1758</v>
      </c>
      <c r="K287" s="1257"/>
      <c r="L287" s="1257"/>
    </row>
    <row r="288" spans="1:12">
      <c r="A288" s="1257">
        <f>SUBTOTAL(103,$C$7:C288)</f>
        <v>282</v>
      </c>
      <c r="B288" s="1257"/>
      <c r="C288" s="1257" t="s">
        <v>638</v>
      </c>
      <c r="D288" s="1291" t="s">
        <v>49</v>
      </c>
      <c r="E288" s="1257" t="s">
        <v>50</v>
      </c>
      <c r="F288" s="1259" t="s">
        <v>255</v>
      </c>
      <c r="G288" s="1259" t="s">
        <v>255</v>
      </c>
      <c r="H288" s="1257" t="s">
        <v>255</v>
      </c>
      <c r="I288" s="1257"/>
      <c r="J288" s="1260" t="s">
        <v>1543</v>
      </c>
      <c r="K288" s="1257"/>
      <c r="L288" s="1257"/>
    </row>
    <row r="289" spans="1:12">
      <c r="A289" s="1257">
        <f>SUBTOTAL(103,$C$7:C289)</f>
        <v>283</v>
      </c>
      <c r="B289" s="1257" t="s">
        <v>639</v>
      </c>
      <c r="C289" s="1257" t="s">
        <v>640</v>
      </c>
      <c r="D289" s="1291" t="s">
        <v>211</v>
      </c>
      <c r="E289" s="1257" t="s">
        <v>50</v>
      </c>
      <c r="F289" s="1259" t="s">
        <v>255</v>
      </c>
      <c r="G289" s="1259" t="s">
        <v>255</v>
      </c>
      <c r="H289" s="1257" t="s">
        <v>255</v>
      </c>
      <c r="I289" s="1257"/>
      <c r="J289" s="1260" t="s">
        <v>1543</v>
      </c>
      <c r="K289" s="1257"/>
      <c r="L289" s="1257"/>
    </row>
    <row r="290" spans="1:12">
      <c r="A290" s="1257">
        <f>SUBTOTAL(103,$C$7:C290)</f>
        <v>284</v>
      </c>
      <c r="B290" s="1257" t="s">
        <v>641</v>
      </c>
      <c r="C290" s="1257" t="s">
        <v>75</v>
      </c>
      <c r="D290" s="1291" t="s">
        <v>211</v>
      </c>
      <c r="E290" s="1257" t="s">
        <v>50</v>
      </c>
      <c r="F290" s="1259" t="s">
        <v>255</v>
      </c>
      <c r="G290" s="1259" t="s">
        <v>255</v>
      </c>
      <c r="H290" s="1257" t="s">
        <v>255</v>
      </c>
      <c r="I290" s="1257"/>
      <c r="J290" s="1260" t="s">
        <v>1543</v>
      </c>
      <c r="K290" s="1257"/>
      <c r="L290" s="1257"/>
    </row>
    <row r="291" spans="1:12">
      <c r="A291" s="1257">
        <f>SUBTOTAL(103,$C$7:C291)</f>
        <v>285</v>
      </c>
      <c r="B291" s="1257"/>
      <c r="C291" s="1257" t="s">
        <v>76</v>
      </c>
      <c r="D291" s="1291" t="s">
        <v>49</v>
      </c>
      <c r="E291" s="1257" t="s">
        <v>50</v>
      </c>
      <c r="F291" s="1259" t="s">
        <v>255</v>
      </c>
      <c r="G291" s="1259" t="s">
        <v>255</v>
      </c>
      <c r="H291" s="1257" t="s">
        <v>255</v>
      </c>
      <c r="I291" s="1257"/>
      <c r="J291" s="1260" t="s">
        <v>1543</v>
      </c>
      <c r="K291" s="1257"/>
      <c r="L291" s="1257"/>
    </row>
    <row r="292" spans="1:12">
      <c r="A292" s="1257">
        <f>SUBTOTAL(103,$C$7:C292)</f>
        <v>286</v>
      </c>
      <c r="B292" s="1257" t="s">
        <v>642</v>
      </c>
      <c r="C292" s="1257" t="s">
        <v>77</v>
      </c>
      <c r="D292" s="1291" t="s">
        <v>184</v>
      </c>
      <c r="E292" s="1257" t="s">
        <v>50</v>
      </c>
      <c r="F292" s="1259" t="s">
        <v>255</v>
      </c>
      <c r="G292" s="1259" t="s">
        <v>255</v>
      </c>
      <c r="H292" s="1257" t="s">
        <v>255</v>
      </c>
      <c r="I292" s="1257"/>
      <c r="J292" s="1260" t="s">
        <v>1543</v>
      </c>
      <c r="K292" s="1257"/>
      <c r="L292" s="1257"/>
    </row>
    <row r="293" spans="1:12">
      <c r="A293" s="1257">
        <f>SUBTOTAL(103,$C$7:C293)</f>
        <v>287</v>
      </c>
      <c r="B293" s="1257"/>
      <c r="C293" s="1257" t="s">
        <v>171</v>
      </c>
      <c r="D293" s="1291" t="s">
        <v>2</v>
      </c>
      <c r="E293" s="1257" t="s">
        <v>50</v>
      </c>
      <c r="F293" s="1259" t="s">
        <v>255</v>
      </c>
      <c r="G293" s="1259" t="s">
        <v>255</v>
      </c>
      <c r="H293" s="1257" t="s">
        <v>255</v>
      </c>
      <c r="I293" s="1257"/>
      <c r="J293" s="1257"/>
      <c r="K293" s="1257"/>
      <c r="L293" s="1257"/>
    </row>
    <row r="294" spans="1:12">
      <c r="A294" s="1257">
        <f>SUBTOTAL(103,$C$7:C294)</f>
        <v>288</v>
      </c>
      <c r="B294" s="1257"/>
      <c r="C294" s="1257" t="s">
        <v>172</v>
      </c>
      <c r="D294" s="1291" t="s">
        <v>49</v>
      </c>
      <c r="E294" s="1257" t="s">
        <v>50</v>
      </c>
      <c r="F294" s="1259" t="s">
        <v>255</v>
      </c>
      <c r="G294" s="1259" t="s">
        <v>255</v>
      </c>
      <c r="H294" s="1257" t="s">
        <v>255</v>
      </c>
      <c r="I294" s="1257"/>
      <c r="J294" s="1257"/>
      <c r="K294" s="1257"/>
      <c r="L294" s="1257"/>
    </row>
    <row r="295" spans="1:12">
      <c r="A295" s="1257">
        <f>SUBTOTAL(103,$C$7:C295)</f>
        <v>289</v>
      </c>
      <c r="B295" s="1257"/>
      <c r="C295" s="1257" t="s">
        <v>1790</v>
      </c>
      <c r="D295" s="1291" t="s">
        <v>211</v>
      </c>
      <c r="E295" s="1257" t="s">
        <v>50</v>
      </c>
      <c r="F295" s="1259" t="s">
        <v>255</v>
      </c>
      <c r="G295" s="1259" t="s">
        <v>255</v>
      </c>
      <c r="H295" s="1257" t="s">
        <v>255</v>
      </c>
      <c r="I295" s="1257"/>
      <c r="J295" s="1257"/>
      <c r="K295" s="1257"/>
      <c r="L295" s="1257"/>
    </row>
    <row r="296" spans="1:12">
      <c r="A296" s="1257">
        <f>SUBTOTAL(103,$C$7:C296)</f>
        <v>290</v>
      </c>
      <c r="B296" s="1257" t="s">
        <v>643</v>
      </c>
      <c r="C296" s="1257" t="s">
        <v>78</v>
      </c>
      <c r="D296" s="1291" t="s">
        <v>197</v>
      </c>
      <c r="E296" s="1257" t="s">
        <v>50</v>
      </c>
      <c r="F296" s="1259" t="s">
        <v>255</v>
      </c>
      <c r="G296" s="1259" t="s">
        <v>255</v>
      </c>
      <c r="H296" s="1257" t="s">
        <v>255</v>
      </c>
      <c r="I296" s="1257"/>
      <c r="J296" s="1257"/>
      <c r="K296" s="1257"/>
      <c r="L296" s="1257"/>
    </row>
    <row r="297" spans="1:12">
      <c r="A297" s="1257">
        <f>SUBTOTAL(103,$C$7:C297)</f>
        <v>291</v>
      </c>
      <c r="B297" s="1257"/>
      <c r="C297" s="1257" t="s">
        <v>644</v>
      </c>
      <c r="D297" s="1291" t="s">
        <v>154</v>
      </c>
      <c r="E297" s="1257" t="s">
        <v>50</v>
      </c>
      <c r="F297" s="1259" t="s">
        <v>255</v>
      </c>
      <c r="G297" s="1259" t="s">
        <v>255</v>
      </c>
      <c r="H297" s="1257" t="s">
        <v>255</v>
      </c>
      <c r="I297" s="1257"/>
      <c r="J297" s="1390" t="s">
        <v>1758</v>
      </c>
      <c r="K297" s="1257"/>
      <c r="L297" s="1257"/>
    </row>
    <row r="298" spans="1:12">
      <c r="A298" s="1257">
        <f>SUBTOTAL(103,$C$7:C298)</f>
        <v>292</v>
      </c>
      <c r="B298" s="1257"/>
      <c r="C298" s="1257" t="s">
        <v>645</v>
      </c>
      <c r="D298" s="1291" t="s">
        <v>79</v>
      </c>
      <c r="E298" s="1257" t="s">
        <v>50</v>
      </c>
      <c r="F298" s="1259" t="s">
        <v>255</v>
      </c>
      <c r="G298" s="1259" t="s">
        <v>255</v>
      </c>
      <c r="H298" s="1257" t="s">
        <v>255</v>
      </c>
      <c r="I298" s="1257"/>
      <c r="J298" s="1257"/>
      <c r="K298" s="1257"/>
      <c r="L298" s="1257"/>
    </row>
    <row r="299" spans="1:12">
      <c r="A299" s="1257">
        <f>SUBTOTAL(103,$C$7:C299)</f>
        <v>293</v>
      </c>
      <c r="B299" s="1257"/>
      <c r="C299" s="1257" t="s">
        <v>646</v>
      </c>
      <c r="D299" s="1291" t="s">
        <v>154</v>
      </c>
      <c r="E299" s="1257" t="s">
        <v>50</v>
      </c>
      <c r="F299" s="1259" t="s">
        <v>255</v>
      </c>
      <c r="G299" s="1259" t="s">
        <v>255</v>
      </c>
      <c r="H299" s="1257" t="s">
        <v>255</v>
      </c>
      <c r="I299" s="1257"/>
      <c r="J299" s="1257"/>
      <c r="K299" s="1257"/>
      <c r="L299" s="1257"/>
    </row>
    <row r="300" spans="1:12">
      <c r="A300" s="1257">
        <f>SUBTOTAL(103,$C$7:C300)</f>
        <v>294</v>
      </c>
      <c r="B300" s="1257"/>
      <c r="C300" s="1257" t="s">
        <v>647</v>
      </c>
      <c r="D300" s="1291" t="s">
        <v>3</v>
      </c>
      <c r="E300" s="1257" t="s">
        <v>50</v>
      </c>
      <c r="F300" s="1259" t="s">
        <v>255</v>
      </c>
      <c r="G300" s="1259" t="s">
        <v>255</v>
      </c>
      <c r="H300" s="1257" t="s">
        <v>255</v>
      </c>
      <c r="I300" s="1257"/>
      <c r="J300" s="1257"/>
      <c r="K300" s="1257"/>
      <c r="L300" s="1257"/>
    </row>
    <row r="301" spans="1:12">
      <c r="A301" s="1257">
        <f>SUBTOTAL(103,$C$7:C301)</f>
        <v>295</v>
      </c>
      <c r="B301" s="1257"/>
      <c r="C301" s="1257" t="s">
        <v>1791</v>
      </c>
      <c r="D301" s="1291" t="s">
        <v>173</v>
      </c>
      <c r="E301" s="1257" t="s">
        <v>50</v>
      </c>
      <c r="F301" s="1259" t="s">
        <v>255</v>
      </c>
      <c r="G301" s="1259" t="s">
        <v>255</v>
      </c>
      <c r="H301" s="1257" t="s">
        <v>255</v>
      </c>
      <c r="I301" s="1257"/>
      <c r="J301" s="1257"/>
      <c r="K301" s="1257"/>
      <c r="L301" s="1257"/>
    </row>
    <row r="302" spans="1:12">
      <c r="A302" s="1257">
        <f>SUBTOTAL(103,$C$7:C302)</f>
        <v>296</v>
      </c>
      <c r="B302" s="1257"/>
      <c r="C302" s="1257" t="s">
        <v>649</v>
      </c>
      <c r="D302" s="1291" t="s">
        <v>2</v>
      </c>
      <c r="E302" s="1257" t="s">
        <v>50</v>
      </c>
      <c r="F302" s="1259" t="s">
        <v>255</v>
      </c>
      <c r="G302" s="1259" t="s">
        <v>255</v>
      </c>
      <c r="H302" s="1257" t="s">
        <v>255</v>
      </c>
      <c r="I302" s="1257"/>
      <c r="J302" s="1257"/>
      <c r="K302" s="1257"/>
      <c r="L302" s="1257"/>
    </row>
    <row r="303" spans="1:12">
      <c r="A303" s="1257">
        <f>SUBTOTAL(103,$C$7:C303)</f>
        <v>297</v>
      </c>
      <c r="B303" s="1257"/>
      <c r="C303" s="1257" t="s">
        <v>650</v>
      </c>
      <c r="D303" s="1291" t="s">
        <v>3</v>
      </c>
      <c r="E303" s="1257" t="s">
        <v>50</v>
      </c>
      <c r="F303" s="1259" t="s">
        <v>255</v>
      </c>
      <c r="G303" s="1259" t="s">
        <v>255</v>
      </c>
      <c r="H303" s="1257" t="s">
        <v>255</v>
      </c>
      <c r="I303" s="1257"/>
      <c r="J303" s="1257"/>
      <c r="K303" s="1257"/>
      <c r="L303" s="1257"/>
    </row>
    <row r="304" spans="1:12">
      <c r="A304" s="1257">
        <f>SUBTOTAL(103,$C$7:C304)</f>
        <v>298</v>
      </c>
      <c r="B304" s="1257"/>
      <c r="C304" s="1257" t="s">
        <v>651</v>
      </c>
      <c r="D304" s="1291" t="s">
        <v>49</v>
      </c>
      <c r="E304" s="1257" t="s">
        <v>50</v>
      </c>
      <c r="F304" s="1259" t="s">
        <v>255</v>
      </c>
      <c r="G304" s="1259" t="s">
        <v>255</v>
      </c>
      <c r="H304" s="1257" t="s">
        <v>255</v>
      </c>
      <c r="I304" s="1257"/>
      <c r="J304" s="1257"/>
      <c r="K304" s="1257"/>
      <c r="L304" s="1257"/>
    </row>
    <row r="305" spans="1:12">
      <c r="A305" s="1257">
        <f>SUBTOTAL(103,$C$7:C305)</f>
        <v>299</v>
      </c>
      <c r="B305" s="1257" t="s">
        <v>652</v>
      </c>
      <c r="C305" s="1257" t="s">
        <v>7</v>
      </c>
      <c r="D305" s="1291" t="s">
        <v>227</v>
      </c>
      <c r="E305" s="1257" t="s">
        <v>50</v>
      </c>
      <c r="F305" s="1259" t="s">
        <v>255</v>
      </c>
      <c r="G305" s="1259" t="s">
        <v>255</v>
      </c>
      <c r="H305" s="1257" t="s">
        <v>255</v>
      </c>
      <c r="I305" s="1257"/>
      <c r="J305" s="1260" t="s">
        <v>1543</v>
      </c>
      <c r="K305" s="1257"/>
      <c r="L305" s="1257"/>
    </row>
    <row r="306" spans="1:12">
      <c r="A306" s="1257">
        <f>SUBTOTAL(103,$C$7:C306)</f>
        <v>300</v>
      </c>
      <c r="B306" s="1257"/>
      <c r="C306" s="1257" t="s">
        <v>1240</v>
      </c>
      <c r="D306" s="1291" t="s">
        <v>2</v>
      </c>
      <c r="E306" s="1257" t="s">
        <v>50</v>
      </c>
      <c r="F306" s="1259" t="s">
        <v>255</v>
      </c>
      <c r="G306" s="1259" t="s">
        <v>255</v>
      </c>
      <c r="H306" s="1257" t="s">
        <v>255</v>
      </c>
      <c r="I306" s="1257"/>
      <c r="J306" s="1257" t="s">
        <v>1758</v>
      </c>
      <c r="K306" s="1257"/>
      <c r="L306" s="1257"/>
    </row>
    <row r="307" spans="1:12">
      <c r="A307" s="1257">
        <f>SUBTOTAL(103,$C$7:C307)</f>
        <v>301</v>
      </c>
      <c r="B307" s="1257"/>
      <c r="C307" s="1257" t="s">
        <v>1242</v>
      </c>
      <c r="D307" s="1291" t="s">
        <v>2</v>
      </c>
      <c r="E307" s="1257" t="s">
        <v>50</v>
      </c>
      <c r="F307" s="1259" t="s">
        <v>255</v>
      </c>
      <c r="G307" s="1259" t="s">
        <v>255</v>
      </c>
      <c r="H307" s="1257" t="s">
        <v>255</v>
      </c>
      <c r="I307" s="1257" t="s">
        <v>1758</v>
      </c>
      <c r="J307" s="1257" t="s">
        <v>1758</v>
      </c>
      <c r="K307" s="1257"/>
      <c r="L307" s="1257"/>
    </row>
    <row r="308" spans="1:12">
      <c r="A308" s="1257">
        <f>SUBTOTAL(103,$C$7:C308)</f>
        <v>302</v>
      </c>
      <c r="B308" s="1257"/>
      <c r="C308" s="1257" t="s">
        <v>1243</v>
      </c>
      <c r="D308" s="1291" t="s">
        <v>2</v>
      </c>
      <c r="E308" s="1257" t="s">
        <v>50</v>
      </c>
      <c r="F308" s="1259" t="s">
        <v>255</v>
      </c>
      <c r="G308" s="1259" t="s">
        <v>255</v>
      </c>
      <c r="H308" s="1257" t="s">
        <v>255</v>
      </c>
      <c r="I308" s="1257"/>
      <c r="J308" s="1260" t="s">
        <v>1543</v>
      </c>
      <c r="K308" s="1257"/>
      <c r="L308" s="1257"/>
    </row>
    <row r="309" spans="1:12">
      <c r="A309" s="1257">
        <f>SUBTOTAL(103,$C$7:C309)</f>
        <v>303</v>
      </c>
      <c r="B309" s="1257"/>
      <c r="C309" s="1257" t="s">
        <v>1244</v>
      </c>
      <c r="D309" s="1291" t="s">
        <v>3</v>
      </c>
      <c r="E309" s="1257" t="s">
        <v>50</v>
      </c>
      <c r="F309" s="1259" t="s">
        <v>255</v>
      </c>
      <c r="G309" s="1259" t="s">
        <v>255</v>
      </c>
      <c r="H309" s="1257" t="s">
        <v>255</v>
      </c>
      <c r="I309" s="1257"/>
      <c r="J309" s="1260" t="s">
        <v>1543</v>
      </c>
      <c r="K309" s="1257"/>
      <c r="L309" s="1257"/>
    </row>
    <row r="310" spans="1:12">
      <c r="A310" s="1257">
        <f>SUBTOTAL(103,$C$7:C310)</f>
        <v>304</v>
      </c>
      <c r="B310" s="1257"/>
      <c r="C310" s="1257" t="s">
        <v>1245</v>
      </c>
      <c r="D310" s="1291" t="s">
        <v>3</v>
      </c>
      <c r="E310" s="1257" t="s">
        <v>50</v>
      </c>
      <c r="F310" s="1259" t="s">
        <v>255</v>
      </c>
      <c r="G310" s="1259" t="s">
        <v>255</v>
      </c>
      <c r="H310" s="1257" t="s">
        <v>255</v>
      </c>
      <c r="I310" s="1257"/>
      <c r="J310" s="1257" t="s">
        <v>1758</v>
      </c>
      <c r="K310" s="1257"/>
      <c r="L310" s="1257"/>
    </row>
    <row r="311" spans="1:12">
      <c r="A311" s="1257">
        <f>SUBTOTAL(103,$C$7:C311)</f>
        <v>305</v>
      </c>
      <c r="B311" s="1257" t="s">
        <v>1270</v>
      </c>
      <c r="C311" s="1257" t="s">
        <v>1246</v>
      </c>
      <c r="D311" s="1291" t="s">
        <v>211</v>
      </c>
      <c r="E311" s="1257" t="s">
        <v>50</v>
      </c>
      <c r="F311" s="1259" t="s">
        <v>255</v>
      </c>
      <c r="G311" s="1259" t="s">
        <v>255</v>
      </c>
      <c r="H311" s="1257" t="s">
        <v>255</v>
      </c>
      <c r="I311" s="1257" t="s">
        <v>1758</v>
      </c>
      <c r="J311" s="1260" t="s">
        <v>1543</v>
      </c>
      <c r="K311" s="1257"/>
      <c r="L311" s="1257" t="s">
        <v>1248</v>
      </c>
    </row>
    <row r="312" spans="1:12">
      <c r="A312" s="1257">
        <f>SUBTOTAL(103,$C$7:C312)</f>
        <v>306</v>
      </c>
      <c r="B312" s="1257" t="s">
        <v>1271</v>
      </c>
      <c r="C312" s="1257" t="s">
        <v>1247</v>
      </c>
      <c r="D312" s="1291" t="s">
        <v>403</v>
      </c>
      <c r="E312" s="1257" t="s">
        <v>50</v>
      </c>
      <c r="F312" s="1259" t="s">
        <v>255</v>
      </c>
      <c r="G312" s="1259" t="s">
        <v>255</v>
      </c>
      <c r="H312" s="1257" t="s">
        <v>255</v>
      </c>
      <c r="I312" s="1257"/>
      <c r="J312" s="1301" t="s">
        <v>311</v>
      </c>
      <c r="K312" s="1257"/>
      <c r="L312" s="1257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2" priority="1"/>
  </conditionalFormatting>
  <conditionalFormatting sqref="C4:C312">
    <cfRule type="duplicateValues" dxfId="161" priority="21"/>
    <cfRule type="duplicateValues" dxfId="160" priority="22"/>
    <cfRule type="duplicateValues" dxfId="159" priority="23"/>
  </conditionalFormatting>
  <conditionalFormatting sqref="C6:C312">
    <cfRule type="duplicateValues" dxfId="158" priority="17"/>
    <cfRule type="duplicateValues" dxfId="157" priority="18"/>
    <cfRule type="duplicateValues" dxfId="156" priority="19"/>
    <cfRule type="duplicateValues" dxfId="155" priority="20"/>
  </conditionalFormatting>
  <conditionalFormatting sqref="C240:C243">
    <cfRule type="duplicateValues" dxfId="154" priority="6"/>
    <cfRule type="duplicateValues" dxfId="153" priority="7"/>
    <cfRule type="duplicateValues" dxfId="152" priority="8"/>
    <cfRule type="duplicateValues" dxfId="151" priority="9"/>
    <cfRule type="duplicateValues" dxfId="150" priority="10"/>
    <cfRule type="duplicateValues" dxfId="149" priority="11"/>
    <cfRule type="duplicateValues" dxfId="148" priority="12"/>
  </conditionalFormatting>
  <conditionalFormatting sqref="C301">
    <cfRule type="duplicateValues" dxfId="147" priority="13"/>
    <cfRule type="duplicateValues" dxfId="146" priority="14"/>
    <cfRule type="duplicateValues" dxfId="145" priority="15"/>
    <cfRule type="duplicateValues" dxfId="144" priority="16"/>
  </conditionalFormatting>
  <conditionalFormatting sqref="C312">
    <cfRule type="duplicateValues" dxfId="143" priority="2"/>
    <cfRule type="duplicateValues" dxfId="142" priority="3"/>
    <cfRule type="duplicateValues" dxfId="141" priority="4"/>
    <cfRule type="duplicateValues" dxfId="140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workbookViewId="0">
      <selection activeCell="I11" sqref="I1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29" t="s">
        <v>120</v>
      </c>
      <c r="B1" s="1430"/>
      <c r="C1" s="1430"/>
      <c r="D1" s="1430"/>
      <c r="E1" s="1430"/>
      <c r="F1" s="1430"/>
      <c r="G1" s="1430"/>
      <c r="H1" s="1430"/>
      <c r="I1" s="1431"/>
    </row>
    <row r="2" spans="1:9" ht="15.5">
      <c r="A2" s="1601" t="str">
        <f>TA413_PBNTL!A1</f>
        <v xml:space="preserve"> TA413 : 765 KV D/C Bikaner III - Neemrana II TL02</v>
      </c>
      <c r="B2" s="1602"/>
      <c r="C2" s="1602"/>
      <c r="D2" s="1602"/>
      <c r="E2" s="1602"/>
      <c r="F2" s="1602"/>
      <c r="G2" s="1602"/>
      <c r="H2" s="1602"/>
      <c r="I2" s="1623"/>
    </row>
    <row r="3" spans="1:9" ht="16" thickBot="1">
      <c r="A3" s="1624" t="s">
        <v>1765</v>
      </c>
      <c r="B3" s="1625"/>
      <c r="C3" s="1625"/>
      <c r="D3" s="1625"/>
      <c r="E3" s="1625"/>
      <c r="F3" s="1625"/>
      <c r="G3" s="1625"/>
      <c r="H3" s="1625"/>
      <c r="I3" s="66" t="str">
        <f>TA413_PBNTL!M1</f>
        <v>26.06.2026</v>
      </c>
    </row>
    <row r="4" spans="1:9" ht="29.5" thickBot="1">
      <c r="A4" s="50" t="s">
        <v>41</v>
      </c>
      <c r="B4" s="51" t="s">
        <v>42</v>
      </c>
      <c r="C4" s="52" t="s">
        <v>43</v>
      </c>
      <c r="D4" s="51" t="s">
        <v>44</v>
      </c>
      <c r="E4" s="51" t="s">
        <v>1764</v>
      </c>
      <c r="F4" s="53" t="s">
        <v>1763</v>
      </c>
      <c r="G4" s="54" t="s">
        <v>87</v>
      </c>
      <c r="H4" s="51" t="s">
        <v>48</v>
      </c>
      <c r="I4" s="55" t="s">
        <v>1</v>
      </c>
    </row>
    <row r="5" spans="1:9">
      <c r="A5" s="1149">
        <v>1</v>
      </c>
      <c r="B5" s="1278">
        <v>1</v>
      </c>
      <c r="C5" s="1278" t="s">
        <v>1252</v>
      </c>
      <c r="D5" s="1279" t="str">
        <f>VLOOKUP(C5,Erection!$C$5:$D$307,2,0)</f>
        <v>DA+0</v>
      </c>
      <c r="E5" s="1280">
        <v>46157</v>
      </c>
      <c r="F5" s="1278" t="s">
        <v>1766</v>
      </c>
      <c r="G5" s="1278" t="s">
        <v>1767</v>
      </c>
      <c r="H5" s="1278" t="s">
        <v>1150</v>
      </c>
      <c r="I5" s="1281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14">
        <v>46157</v>
      </c>
      <c r="F6" s="10" t="s">
        <v>1766</v>
      </c>
      <c r="G6" s="10" t="s">
        <v>1767</v>
      </c>
      <c r="H6" s="10" t="s">
        <v>1150</v>
      </c>
      <c r="I6" s="49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14">
        <v>46158</v>
      </c>
      <c r="F7" s="10" t="s">
        <v>1766</v>
      </c>
      <c r="G7" s="10" t="s">
        <v>1767</v>
      </c>
      <c r="H7" s="10" t="s">
        <v>1150</v>
      </c>
      <c r="I7" s="49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14">
        <v>46158</v>
      </c>
      <c r="F8" s="10" t="s">
        <v>1766</v>
      </c>
      <c r="G8" s="10" t="s">
        <v>1767</v>
      </c>
      <c r="H8" s="10" t="s">
        <v>1150</v>
      </c>
      <c r="I8" s="49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14">
        <v>46159</v>
      </c>
      <c r="F9" s="10" t="s">
        <v>1766</v>
      </c>
      <c r="G9" s="10" t="s">
        <v>1767</v>
      </c>
      <c r="H9" s="10" t="s">
        <v>1150</v>
      </c>
      <c r="I9" s="49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14">
        <v>46159</v>
      </c>
      <c r="F10" s="10" t="s">
        <v>1766</v>
      </c>
      <c r="G10" s="10" t="s">
        <v>1767</v>
      </c>
      <c r="H10" s="10" t="s">
        <v>1150</v>
      </c>
      <c r="I10" s="49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14">
        <v>46159</v>
      </c>
      <c r="F11" s="10" t="s">
        <v>1766</v>
      </c>
      <c r="G11" s="10" t="s">
        <v>1767</v>
      </c>
      <c r="H11" s="10" t="s">
        <v>1150</v>
      </c>
      <c r="I11" s="49"/>
    </row>
    <row r="12" spans="1:9">
      <c r="A12" s="1001">
        <f t="shared" si="0"/>
        <v>8</v>
      </c>
      <c r="B12" s="10">
        <v>8</v>
      </c>
      <c r="C12" s="75" t="s">
        <v>26</v>
      </c>
      <c r="D12" s="65" t="str">
        <f>VLOOKUP(C12,Erection!$C$5:$D$307,2,0)</f>
        <v>DA+0</v>
      </c>
      <c r="E12" s="726">
        <v>46161</v>
      </c>
      <c r="F12" s="65" t="s">
        <v>1766</v>
      </c>
      <c r="G12" s="65" t="s">
        <v>1769</v>
      </c>
      <c r="H12" s="65" t="s">
        <v>1150</v>
      </c>
      <c r="I12" s="49"/>
    </row>
    <row r="13" spans="1:9">
      <c r="A13" s="1001">
        <f t="shared" si="0"/>
        <v>9</v>
      </c>
      <c r="B13" s="10">
        <v>9</v>
      </c>
      <c r="C13" s="75" t="s">
        <v>437</v>
      </c>
      <c r="D13" s="65" t="str">
        <f>VLOOKUP(C13,Erection!$C$5:$D$307,2,0)</f>
        <v>DA+9</v>
      </c>
      <c r="E13" s="726">
        <v>46161</v>
      </c>
      <c r="F13" s="65" t="s">
        <v>1766</v>
      </c>
      <c r="G13" s="65" t="s">
        <v>1769</v>
      </c>
      <c r="H13" s="65" t="s">
        <v>1150</v>
      </c>
      <c r="I13" s="49"/>
    </row>
    <row r="14" spans="1:9">
      <c r="A14" s="1001">
        <f t="shared" si="0"/>
        <v>10</v>
      </c>
      <c r="B14" s="10">
        <v>10</v>
      </c>
      <c r="C14" s="75" t="s">
        <v>438</v>
      </c>
      <c r="D14" s="65" t="str">
        <f>VLOOKUP(C14,Erection!$C$5:$D$307,2,0)</f>
        <v>DA+3</v>
      </c>
      <c r="E14" s="726">
        <v>46161</v>
      </c>
      <c r="F14" s="65" t="s">
        <v>1766</v>
      </c>
      <c r="G14" s="65" t="s">
        <v>1769</v>
      </c>
      <c r="H14" s="65" t="s">
        <v>1150</v>
      </c>
      <c r="I14" s="1285"/>
    </row>
    <row r="15" spans="1:9">
      <c r="A15" s="1001">
        <f t="shared" si="0"/>
        <v>11</v>
      </c>
      <c r="B15" s="10">
        <v>11</v>
      </c>
      <c r="C15" s="75" t="s">
        <v>439</v>
      </c>
      <c r="D15" s="65" t="str">
        <f>VLOOKUP(C15,Erection!$C$5:$D$307,2,0)</f>
        <v>DA+9</v>
      </c>
      <c r="E15" s="726">
        <v>46161</v>
      </c>
      <c r="F15" s="65" t="s">
        <v>1766</v>
      </c>
      <c r="G15" s="65" t="s">
        <v>1769</v>
      </c>
      <c r="H15" s="65" t="s">
        <v>1150</v>
      </c>
      <c r="I15" s="1285"/>
    </row>
    <row r="16" spans="1:9">
      <c r="A16" s="1001">
        <f t="shared" si="0"/>
        <v>12</v>
      </c>
      <c r="B16" s="10">
        <v>12</v>
      </c>
      <c r="C16" s="75" t="s">
        <v>440</v>
      </c>
      <c r="D16" s="65" t="str">
        <f>VLOOKUP(C16,Erection!$C$5:$D$307,2,0)</f>
        <v>DA+0</v>
      </c>
      <c r="E16" s="726">
        <v>46161</v>
      </c>
      <c r="F16" s="65" t="s">
        <v>1766</v>
      </c>
      <c r="G16" s="65" t="s">
        <v>1769</v>
      </c>
      <c r="H16" s="65" t="s">
        <v>1150</v>
      </c>
      <c r="I16" s="1285"/>
    </row>
    <row r="17" spans="1:9">
      <c r="A17" s="1001">
        <f t="shared" si="0"/>
        <v>13</v>
      </c>
      <c r="B17" s="10">
        <v>13</v>
      </c>
      <c r="C17" s="75" t="s">
        <v>441</v>
      </c>
      <c r="D17" s="65" t="str">
        <f>VLOOKUP(C17,Erection!$C$5:$D$307,2,0)</f>
        <v>DA+6</v>
      </c>
      <c r="E17" s="726">
        <v>46161</v>
      </c>
      <c r="F17" s="65" t="s">
        <v>1766</v>
      </c>
      <c r="G17" s="65" t="s">
        <v>1769</v>
      </c>
      <c r="H17" s="65" t="s">
        <v>1150</v>
      </c>
      <c r="I17" s="1285"/>
    </row>
    <row r="18" spans="1:9">
      <c r="A18" s="1001">
        <f t="shared" si="0"/>
        <v>14</v>
      </c>
      <c r="B18" s="10">
        <v>14</v>
      </c>
      <c r="C18" s="75" t="s">
        <v>442</v>
      </c>
      <c r="D18" s="65" t="str">
        <f>VLOOKUP(C18,Erection!$C$5:$D$307,2,0)</f>
        <v>DA-3</v>
      </c>
      <c r="E18" s="726">
        <v>46161</v>
      </c>
      <c r="F18" s="65" t="s">
        <v>1766</v>
      </c>
      <c r="G18" s="65" t="s">
        <v>1769</v>
      </c>
      <c r="H18" s="65" t="s">
        <v>1150</v>
      </c>
      <c r="I18" s="1285"/>
    </row>
    <row r="19" spans="1:9">
      <c r="A19" s="1001">
        <f t="shared" si="0"/>
        <v>15</v>
      </c>
      <c r="B19" s="10">
        <v>15</v>
      </c>
      <c r="C19" s="75" t="s">
        <v>443</v>
      </c>
      <c r="D19" s="65" t="str">
        <f>VLOOKUP(C19,Erection!$C$5:$D$307,2,0)</f>
        <v>DA+3</v>
      </c>
      <c r="E19" s="726">
        <v>46161</v>
      </c>
      <c r="F19" s="65" t="s">
        <v>1766</v>
      </c>
      <c r="G19" s="65" t="s">
        <v>1769</v>
      </c>
      <c r="H19" s="65" t="s">
        <v>1150</v>
      </c>
      <c r="I19" s="1285"/>
    </row>
    <row r="20" spans="1:9">
      <c r="A20" s="1001">
        <f t="shared" si="0"/>
        <v>16</v>
      </c>
      <c r="B20" s="10">
        <v>16</v>
      </c>
      <c r="C20" s="75" t="s">
        <v>444</v>
      </c>
      <c r="D20" s="65" t="str">
        <f>VLOOKUP(C20,Erection!$C$5:$D$307,2,0)</f>
        <v>DA-3</v>
      </c>
      <c r="E20" s="726">
        <v>46161</v>
      </c>
      <c r="F20" s="65" t="s">
        <v>1766</v>
      </c>
      <c r="G20" s="65" t="s">
        <v>1769</v>
      </c>
      <c r="H20" s="65" t="s">
        <v>1150</v>
      </c>
      <c r="I20" s="1285"/>
    </row>
    <row r="21" spans="1:9">
      <c r="A21" s="1001">
        <f t="shared" si="0"/>
        <v>17</v>
      </c>
      <c r="B21" s="10">
        <v>17</v>
      </c>
      <c r="C21" s="75" t="s">
        <v>445</v>
      </c>
      <c r="D21" s="65" t="str">
        <f>VLOOKUP(C21,Erection!$C$5:$D$307,2,0)</f>
        <v>DA+3</v>
      </c>
      <c r="E21" s="726">
        <v>46161</v>
      </c>
      <c r="F21" s="65" t="s">
        <v>1766</v>
      </c>
      <c r="G21" s="65" t="s">
        <v>1769</v>
      </c>
      <c r="H21" s="65" t="s">
        <v>1150</v>
      </c>
      <c r="I21" s="1285"/>
    </row>
    <row r="22" spans="1:9">
      <c r="A22" s="1001">
        <f t="shared" si="0"/>
        <v>18</v>
      </c>
      <c r="B22" s="10">
        <v>18</v>
      </c>
      <c r="C22" s="669" t="s">
        <v>82</v>
      </c>
      <c r="D22" s="65" t="str">
        <f>VLOOKUP(C22,Erection!$C$5:$D$307,2,0)</f>
        <v>DA+3</v>
      </c>
      <c r="E22" s="1289">
        <v>46162</v>
      </c>
      <c r="F22" s="1284" t="s">
        <v>1766</v>
      </c>
      <c r="G22" s="1284" t="s">
        <v>1769</v>
      </c>
      <c r="H22" s="1284" t="s">
        <v>1150</v>
      </c>
      <c r="I22" s="1285"/>
    </row>
    <row r="23" spans="1:9">
      <c r="A23" s="1001">
        <f t="shared" si="0"/>
        <v>19</v>
      </c>
      <c r="B23" s="10">
        <v>19</v>
      </c>
      <c r="C23" s="669" t="s">
        <v>163</v>
      </c>
      <c r="D23" s="65" t="str">
        <f>VLOOKUP(C23,Erection!$C$5:$D$307,2,0)</f>
        <v>DA+1.5</v>
      </c>
      <c r="E23" s="1289">
        <v>46162</v>
      </c>
      <c r="F23" s="1284" t="s">
        <v>1766</v>
      </c>
      <c r="G23" s="1284" t="s">
        <v>1769</v>
      </c>
      <c r="H23" s="1284" t="s">
        <v>1150</v>
      </c>
      <c r="I23" s="1285"/>
    </row>
    <row r="24" spans="1:9">
      <c r="A24" s="1001">
        <f t="shared" si="0"/>
        <v>20</v>
      </c>
      <c r="B24" s="10">
        <v>20</v>
      </c>
      <c r="C24" s="669" t="s">
        <v>164</v>
      </c>
      <c r="D24" s="65" t="str">
        <f>VLOOKUP(C24,Erection!$C$5:$D$307,2,0)</f>
        <v>DA+3</v>
      </c>
      <c r="E24" s="1289">
        <v>46162</v>
      </c>
      <c r="F24" s="1284" t="s">
        <v>1766</v>
      </c>
      <c r="G24" s="1284" t="s">
        <v>1769</v>
      </c>
      <c r="H24" s="1284" t="s">
        <v>1150</v>
      </c>
      <c r="I24" s="1285"/>
    </row>
    <row r="25" spans="1:9">
      <c r="A25" s="1001">
        <f t="shared" si="0"/>
        <v>21</v>
      </c>
      <c r="B25" s="10">
        <v>21</v>
      </c>
      <c r="C25" s="669" t="s">
        <v>446</v>
      </c>
      <c r="D25" s="65" t="str">
        <f>VLOOKUP(C25,Erection!$C$5:$D$307,2,0)</f>
        <v>DA-1.5</v>
      </c>
      <c r="E25" s="1289">
        <v>46162</v>
      </c>
      <c r="F25" s="1284" t="s">
        <v>1766</v>
      </c>
      <c r="G25" s="1284" t="s">
        <v>1769</v>
      </c>
      <c r="H25" s="1284" t="s">
        <v>1150</v>
      </c>
      <c r="I25" s="1285"/>
    </row>
    <row r="26" spans="1:9">
      <c r="A26" s="1001">
        <f t="shared" si="0"/>
        <v>22</v>
      </c>
      <c r="B26" s="10">
        <v>22</v>
      </c>
      <c r="C26" s="669" t="s">
        <v>447</v>
      </c>
      <c r="D26" s="65" t="str">
        <f>VLOOKUP(C26,Erection!$C$5:$D$307,2,0)</f>
        <v>DA+6</v>
      </c>
      <c r="E26" s="1289">
        <v>46162</v>
      </c>
      <c r="F26" s="1284" t="s">
        <v>1766</v>
      </c>
      <c r="G26" s="1284" t="s">
        <v>1769</v>
      </c>
      <c r="H26" s="1284" t="s">
        <v>1150</v>
      </c>
      <c r="I26" s="1285"/>
    </row>
    <row r="27" spans="1:9">
      <c r="A27" s="1001">
        <f t="shared" si="0"/>
        <v>23</v>
      </c>
      <c r="B27" s="10">
        <v>23</v>
      </c>
      <c r="C27" s="1288" t="s">
        <v>448</v>
      </c>
      <c r="D27" s="65" t="str">
        <f>VLOOKUP(C27,Erection!$C$5:$D$307,2,0)</f>
        <v>DA+9</v>
      </c>
      <c r="E27" s="1289">
        <v>46162</v>
      </c>
      <c r="F27" s="1284" t="s">
        <v>1766</v>
      </c>
      <c r="G27" s="1284" t="s">
        <v>1769</v>
      </c>
      <c r="H27" s="1284" t="s">
        <v>1150</v>
      </c>
      <c r="I27" s="1285"/>
    </row>
    <row r="28" spans="1:9">
      <c r="A28" s="1001">
        <f t="shared" si="0"/>
        <v>24</v>
      </c>
      <c r="B28" s="10">
        <v>24</v>
      </c>
      <c r="C28" s="669" t="s">
        <v>449</v>
      </c>
      <c r="D28" s="65" t="str">
        <f>VLOOKUP(C28,Erection!$C$5:$D$307,2,0)</f>
        <v>DA+0</v>
      </c>
      <c r="E28" s="1289">
        <v>46162</v>
      </c>
      <c r="F28" s="1284" t="s">
        <v>1766</v>
      </c>
      <c r="G28" s="1284" t="s">
        <v>1769</v>
      </c>
      <c r="H28" s="1284" t="s">
        <v>1150</v>
      </c>
      <c r="I28" s="1285"/>
    </row>
    <row r="29" spans="1:9">
      <c r="A29" s="1001">
        <f t="shared" si="0"/>
        <v>25</v>
      </c>
      <c r="B29" s="10">
        <v>25</v>
      </c>
      <c r="C29" s="669" t="s">
        <v>450</v>
      </c>
      <c r="D29" s="65" t="str">
        <f>VLOOKUP(C29,Erection!$C$5:$D$307,2,0)</f>
        <v>DA+0</v>
      </c>
      <c r="E29" s="1289">
        <v>46162</v>
      </c>
      <c r="F29" s="1284" t="s">
        <v>1766</v>
      </c>
      <c r="G29" s="1284" t="s">
        <v>1769</v>
      </c>
      <c r="H29" s="1284" t="s">
        <v>1150</v>
      </c>
      <c r="I29" s="1285"/>
    </row>
    <row r="30" spans="1:9">
      <c r="A30" s="1001">
        <f t="shared" si="0"/>
        <v>26</v>
      </c>
      <c r="B30" s="10">
        <v>26</v>
      </c>
      <c r="C30" s="669" t="s">
        <v>451</v>
      </c>
      <c r="D30" s="65" t="str">
        <f>VLOOKUP(C30,Erection!$C$5:$D$307,2,0)</f>
        <v>DA+1.5</v>
      </c>
      <c r="E30" s="114">
        <v>46162</v>
      </c>
      <c r="F30" s="10" t="s">
        <v>1766</v>
      </c>
      <c r="G30" s="10" t="s">
        <v>1769</v>
      </c>
      <c r="H30" s="10" t="s">
        <v>1150</v>
      </c>
      <c r="I30" s="49"/>
    </row>
    <row r="31" spans="1:9">
      <c r="A31" s="1001">
        <f t="shared" si="0"/>
        <v>27</v>
      </c>
      <c r="B31" s="10">
        <v>27</v>
      </c>
      <c r="C31" s="669" t="s">
        <v>452</v>
      </c>
      <c r="D31" s="65" t="str">
        <f>VLOOKUP(C31,Erection!$C$5:$D$307,2,0)</f>
        <v>DA+4.5</v>
      </c>
      <c r="E31" s="114">
        <v>46163</v>
      </c>
      <c r="F31" s="10" t="s">
        <v>1766</v>
      </c>
      <c r="G31" s="10" t="s">
        <v>1769</v>
      </c>
      <c r="H31" s="10" t="s">
        <v>1150</v>
      </c>
      <c r="I31" s="49"/>
    </row>
    <row r="32" spans="1:9">
      <c r="A32" s="1001">
        <f t="shared" si="0"/>
        <v>28</v>
      </c>
      <c r="B32" s="10">
        <v>28</v>
      </c>
      <c r="C32" s="669" t="s">
        <v>66</v>
      </c>
      <c r="D32" s="65" t="str">
        <f>VLOOKUP(C32,Erection!$C$5:$D$307,2,0)</f>
        <v>DA+6</v>
      </c>
      <c r="E32" s="114">
        <v>46163</v>
      </c>
      <c r="F32" s="10" t="s">
        <v>1766</v>
      </c>
      <c r="G32" s="10" t="s">
        <v>1769</v>
      </c>
      <c r="H32" s="10" t="s">
        <v>1150</v>
      </c>
      <c r="I32" s="49"/>
    </row>
    <row r="33" spans="1:9">
      <c r="A33" s="1001">
        <f t="shared" si="0"/>
        <v>29</v>
      </c>
      <c r="B33" s="10">
        <v>29</v>
      </c>
      <c r="C33" s="669" t="s">
        <v>165</v>
      </c>
      <c r="D33" s="65" t="str">
        <f>VLOOKUP(C33,Erection!$C$5:$D$307,2,0)</f>
        <v>DA+9</v>
      </c>
      <c r="E33" s="114">
        <v>46163</v>
      </c>
      <c r="F33" s="10" t="s">
        <v>1766</v>
      </c>
      <c r="G33" s="10" t="s">
        <v>1769</v>
      </c>
      <c r="H33" s="10" t="s">
        <v>1150</v>
      </c>
      <c r="I33" s="49"/>
    </row>
    <row r="34" spans="1:9">
      <c r="A34" s="1001">
        <f t="shared" si="0"/>
        <v>30</v>
      </c>
      <c r="B34" s="10">
        <v>30</v>
      </c>
      <c r="C34" s="669" t="s">
        <v>875</v>
      </c>
      <c r="D34" s="65" t="str">
        <f>VLOOKUP(C34,Erection!$C$5:$D$307,2,0)</f>
        <v>DA+6</v>
      </c>
      <c r="E34" s="114">
        <v>46163</v>
      </c>
      <c r="F34" s="10" t="s">
        <v>1766</v>
      </c>
      <c r="G34" s="10" t="s">
        <v>1769</v>
      </c>
      <c r="H34" s="10" t="s">
        <v>1150</v>
      </c>
      <c r="I34" s="49"/>
    </row>
    <row r="35" spans="1:9">
      <c r="A35" s="1001">
        <f t="shared" si="0"/>
        <v>31</v>
      </c>
      <c r="B35" s="10">
        <v>31</v>
      </c>
      <c r="C35" s="669" t="s">
        <v>876</v>
      </c>
      <c r="D35" s="65" t="str">
        <f>VLOOKUP(C35,Erection!$C$5:$D$307,2,0)</f>
        <v>DA+9</v>
      </c>
      <c r="E35" s="114">
        <v>46163</v>
      </c>
      <c r="F35" s="10" t="s">
        <v>1766</v>
      </c>
      <c r="G35" s="10" t="s">
        <v>1769</v>
      </c>
      <c r="H35" s="10" t="s">
        <v>1150</v>
      </c>
      <c r="I35" s="49"/>
    </row>
    <row r="36" spans="1:9">
      <c r="A36" s="1001">
        <f t="shared" si="0"/>
        <v>32</v>
      </c>
      <c r="B36" s="10">
        <v>32</v>
      </c>
      <c r="C36" s="669" t="s">
        <v>877</v>
      </c>
      <c r="D36" s="65" t="str">
        <f>VLOOKUP(C36,Erection!$C$5:$D$307,2,0)</f>
        <v>DA+9</v>
      </c>
      <c r="E36" s="114">
        <v>46163</v>
      </c>
      <c r="F36" s="10" t="s">
        <v>1766</v>
      </c>
      <c r="G36" s="10" t="s">
        <v>1769</v>
      </c>
      <c r="H36" s="10" t="s">
        <v>1150</v>
      </c>
      <c r="I36" s="49"/>
    </row>
    <row r="37" spans="1:9">
      <c r="A37" s="1001">
        <f t="shared" si="0"/>
        <v>33</v>
      </c>
      <c r="B37" s="10">
        <v>33</v>
      </c>
      <c r="C37" s="669" t="s">
        <v>878</v>
      </c>
      <c r="D37" s="65" t="str">
        <f>VLOOKUP(C37,Erection!$C$5:$D$307,2,0)</f>
        <v>DA+9</v>
      </c>
      <c r="E37" s="114">
        <v>46163</v>
      </c>
      <c r="F37" s="10" t="s">
        <v>1766</v>
      </c>
      <c r="G37" s="10" t="s">
        <v>1769</v>
      </c>
      <c r="H37" s="10" t="s">
        <v>1150</v>
      </c>
      <c r="I37" s="49"/>
    </row>
    <row r="38" spans="1:9">
      <c r="A38" s="1001">
        <f t="shared" si="0"/>
        <v>34</v>
      </c>
      <c r="B38" s="10">
        <v>34</v>
      </c>
      <c r="C38" s="669" t="s">
        <v>879</v>
      </c>
      <c r="D38" s="65" t="str">
        <f>VLOOKUP(C38,Erection!$C$5:$D$307,2,0)</f>
        <v>DA+3</v>
      </c>
      <c r="E38" s="114">
        <v>46163</v>
      </c>
      <c r="F38" s="10" t="s">
        <v>1766</v>
      </c>
      <c r="G38" s="10" t="s">
        <v>1769</v>
      </c>
      <c r="H38" s="10" t="s">
        <v>1150</v>
      </c>
      <c r="I38" s="49"/>
    </row>
    <row r="39" spans="1:9">
      <c r="A39" s="1001">
        <f t="shared" si="0"/>
        <v>35</v>
      </c>
      <c r="B39" s="10">
        <v>35</v>
      </c>
      <c r="C39" s="669" t="s">
        <v>776</v>
      </c>
      <c r="D39" s="65" t="str">
        <f>VLOOKUP(C39,Erection!$C$5:$D$307,2,0)</f>
        <v>DA+6</v>
      </c>
      <c r="E39" s="114">
        <v>46163</v>
      </c>
      <c r="F39" s="10" t="s">
        <v>1766</v>
      </c>
      <c r="G39" s="10" t="s">
        <v>1769</v>
      </c>
      <c r="H39" s="10" t="s">
        <v>1150</v>
      </c>
      <c r="I39" s="49"/>
    </row>
    <row r="40" spans="1:9">
      <c r="A40" s="1001">
        <f t="shared" si="0"/>
        <v>36</v>
      </c>
      <c r="B40" s="10">
        <v>36</v>
      </c>
      <c r="C40" s="669" t="s">
        <v>68</v>
      </c>
      <c r="D40" s="65" t="str">
        <f>VLOOKUP(C40,Erection!$C$5:$D$307,2,0)</f>
        <v>DA+9</v>
      </c>
      <c r="E40" s="114">
        <v>46163</v>
      </c>
      <c r="F40" s="10" t="s">
        <v>1766</v>
      </c>
      <c r="G40" s="10" t="s">
        <v>1769</v>
      </c>
      <c r="H40" s="10" t="s">
        <v>1150</v>
      </c>
      <c r="I40" s="49"/>
    </row>
    <row r="41" spans="1:9">
      <c r="A41" s="1001">
        <f t="shared" si="0"/>
        <v>37</v>
      </c>
      <c r="B41" s="10">
        <v>37</v>
      </c>
      <c r="C41" s="669" t="s">
        <v>69</v>
      </c>
      <c r="D41" s="65" t="str">
        <f>VLOOKUP(C41,Erection!$C$5:$D$307,2,0)</f>
        <v>DA+9</v>
      </c>
      <c r="E41" s="114">
        <v>46163</v>
      </c>
      <c r="F41" s="10" t="s">
        <v>1766</v>
      </c>
      <c r="G41" s="10" t="s">
        <v>1769</v>
      </c>
      <c r="H41" s="10" t="s">
        <v>1150</v>
      </c>
      <c r="I41" s="49"/>
    </row>
    <row r="42" spans="1:9">
      <c r="A42" s="1001">
        <f t="shared" si="0"/>
        <v>38</v>
      </c>
      <c r="B42" s="10">
        <v>38</v>
      </c>
      <c r="C42" s="669" t="s">
        <v>70</v>
      </c>
      <c r="D42" s="65" t="str">
        <f>VLOOKUP(C42,Erection!$C$5:$D$307,2,0)</f>
        <v>DA+3</v>
      </c>
      <c r="E42" s="114">
        <v>46163</v>
      </c>
      <c r="F42" s="10" t="s">
        <v>1766</v>
      </c>
      <c r="G42" s="10" t="s">
        <v>1769</v>
      </c>
      <c r="H42" s="10" t="s">
        <v>1150</v>
      </c>
      <c r="I42" s="49"/>
    </row>
    <row r="43" spans="1:9">
      <c r="A43" s="1001">
        <f t="shared" si="0"/>
        <v>39</v>
      </c>
      <c r="B43" s="10">
        <v>39</v>
      </c>
      <c r="C43" s="669" t="s">
        <v>407</v>
      </c>
      <c r="D43" s="65" t="str">
        <f>VLOOKUP(C43,Erection!$C$5:$D$307,2,0)</f>
        <v>DA+0</v>
      </c>
      <c r="E43" s="114">
        <v>46163</v>
      </c>
      <c r="F43" s="10" t="s">
        <v>1766</v>
      </c>
      <c r="G43" s="10" t="s">
        <v>1767</v>
      </c>
      <c r="H43" s="10" t="s">
        <v>1150</v>
      </c>
      <c r="I43" s="49"/>
    </row>
    <row r="44" spans="1:9">
      <c r="A44" s="1001">
        <f t="shared" si="0"/>
        <v>40</v>
      </c>
      <c r="B44" s="10">
        <v>40</v>
      </c>
      <c r="C44" s="669" t="s">
        <v>370</v>
      </c>
      <c r="D44" s="65" t="str">
        <f>VLOOKUP(C44,Erection!$C$5:$D$307,2,0)</f>
        <v>DA+6</v>
      </c>
      <c r="E44" s="114">
        <v>46163</v>
      </c>
      <c r="F44" s="10" t="s">
        <v>1766</v>
      </c>
      <c r="G44" s="10" t="s">
        <v>1767</v>
      </c>
      <c r="H44" s="10" t="s">
        <v>1150</v>
      </c>
      <c r="I44" s="49"/>
    </row>
    <row r="45" spans="1:9">
      <c r="A45" s="1001">
        <f t="shared" si="0"/>
        <v>41</v>
      </c>
      <c r="B45" s="10">
        <v>41</v>
      </c>
      <c r="C45" s="669" t="s">
        <v>371</v>
      </c>
      <c r="D45" s="65" t="str">
        <f>VLOOKUP(C45,Erection!$C$5:$D$307,2,0)</f>
        <v>DA+3</v>
      </c>
      <c r="E45" s="114">
        <v>46163</v>
      </c>
      <c r="F45" s="10" t="s">
        <v>1766</v>
      </c>
      <c r="G45" s="10" t="s">
        <v>1767</v>
      </c>
      <c r="H45" s="10" t="s">
        <v>1150</v>
      </c>
      <c r="I45" s="49"/>
    </row>
    <row r="46" spans="1:9">
      <c r="A46" s="1001">
        <f t="shared" si="0"/>
        <v>42</v>
      </c>
      <c r="B46" s="10">
        <v>42</v>
      </c>
      <c r="C46" s="669" t="s">
        <v>372</v>
      </c>
      <c r="D46" s="65" t="str">
        <f>VLOOKUP(C46,Erection!$C$5:$D$307,2,0)</f>
        <v>DA+3</v>
      </c>
      <c r="E46" s="114">
        <v>46163</v>
      </c>
      <c r="F46" s="10" t="s">
        <v>1766</v>
      </c>
      <c r="G46" s="10" t="s">
        <v>1767</v>
      </c>
      <c r="H46" s="10" t="s">
        <v>1150</v>
      </c>
      <c r="I46" s="49"/>
    </row>
    <row r="47" spans="1:9">
      <c r="A47" s="1001">
        <f t="shared" si="0"/>
        <v>43</v>
      </c>
      <c r="B47" s="10">
        <v>43</v>
      </c>
      <c r="C47" s="669" t="s">
        <v>408</v>
      </c>
      <c r="D47" s="65" t="str">
        <f>VLOOKUP(C47,Erection!$C$5:$D$307,2,0)</f>
        <v>DA+9</v>
      </c>
      <c r="E47" s="114">
        <v>46163</v>
      </c>
      <c r="F47" s="10" t="s">
        <v>1766</v>
      </c>
      <c r="G47" s="10" t="s">
        <v>1767</v>
      </c>
      <c r="H47" s="10" t="s">
        <v>1150</v>
      </c>
      <c r="I47" s="49"/>
    </row>
    <row r="48" spans="1:9">
      <c r="A48" s="1001">
        <f t="shared" si="0"/>
        <v>44</v>
      </c>
      <c r="B48" s="10">
        <v>44</v>
      </c>
      <c r="C48" s="669" t="s">
        <v>409</v>
      </c>
      <c r="D48" s="65" t="str">
        <f>VLOOKUP(C48,Erection!$C$5:$D$307,2,0)</f>
        <v>DA+0</v>
      </c>
      <c r="E48" s="114">
        <v>46163</v>
      </c>
      <c r="F48" s="10" t="s">
        <v>1766</v>
      </c>
      <c r="G48" s="10" t="s">
        <v>1767</v>
      </c>
      <c r="H48" s="10" t="s">
        <v>1150</v>
      </c>
      <c r="I48" s="49"/>
    </row>
    <row r="49" spans="1:9">
      <c r="A49" s="1001">
        <f t="shared" si="0"/>
        <v>45</v>
      </c>
      <c r="B49" s="10">
        <v>45</v>
      </c>
      <c r="C49" s="669" t="s">
        <v>410</v>
      </c>
      <c r="D49" s="65" t="str">
        <f>VLOOKUP(C49,Erection!$C$5:$D$307,2,0)</f>
        <v>DA+0</v>
      </c>
      <c r="E49" s="114">
        <v>46163</v>
      </c>
      <c r="F49" s="10" t="s">
        <v>1766</v>
      </c>
      <c r="G49" s="10" t="s">
        <v>1767</v>
      </c>
      <c r="H49" s="10" t="s">
        <v>1150</v>
      </c>
      <c r="I49" s="1017"/>
    </row>
    <row r="50" spans="1:9">
      <c r="A50" s="1001">
        <f t="shared" si="0"/>
        <v>46</v>
      </c>
      <c r="B50" s="10">
        <v>46</v>
      </c>
      <c r="C50" s="10" t="s">
        <v>411</v>
      </c>
      <c r="D50" s="65" t="str">
        <f>VLOOKUP(C50,Erection!$C$5:$D$307,2,0)</f>
        <v>DA+3</v>
      </c>
      <c r="E50" s="114">
        <v>46163</v>
      </c>
      <c r="F50" s="10" t="s">
        <v>1766</v>
      </c>
      <c r="G50" s="10" t="s">
        <v>1767</v>
      </c>
      <c r="H50" s="10" t="s">
        <v>1150</v>
      </c>
      <c r="I50" s="1017"/>
    </row>
    <row r="51" spans="1:9">
      <c r="A51" s="1001">
        <f t="shared" si="0"/>
        <v>47</v>
      </c>
      <c r="B51" s="10">
        <v>47</v>
      </c>
      <c r="C51" s="669" t="s">
        <v>406</v>
      </c>
      <c r="D51" s="65" t="str">
        <f>VLOOKUP(C51,Erection!$C$5:$D$307,2,0)</f>
        <v>DA+3</v>
      </c>
      <c r="E51" s="114">
        <v>46164</v>
      </c>
      <c r="F51" s="10" t="s">
        <v>1766</v>
      </c>
      <c r="G51" s="10" t="s">
        <v>1767</v>
      </c>
      <c r="H51" s="10" t="s">
        <v>1150</v>
      </c>
      <c r="I51" s="1017"/>
    </row>
    <row r="52" spans="1:9">
      <c r="A52" s="1001">
        <f t="shared" si="0"/>
        <v>48</v>
      </c>
      <c r="B52" s="10">
        <v>48</v>
      </c>
      <c r="C52" s="669" t="s">
        <v>404</v>
      </c>
      <c r="D52" s="65" t="str">
        <f>VLOOKUP(C52,Erection!$C$5:$D$307,2,0)</f>
        <v>DA+3</v>
      </c>
      <c r="E52" s="114">
        <v>46164</v>
      </c>
      <c r="F52" s="10" t="s">
        <v>1766</v>
      </c>
      <c r="G52" s="10" t="s">
        <v>1767</v>
      </c>
      <c r="H52" s="10" t="s">
        <v>1150</v>
      </c>
      <c r="I52" s="1017"/>
    </row>
    <row r="53" spans="1:9">
      <c r="A53" s="1001">
        <f t="shared" si="0"/>
        <v>49</v>
      </c>
      <c r="B53" s="10">
        <v>49</v>
      </c>
      <c r="C53" s="669" t="s">
        <v>402</v>
      </c>
      <c r="D53" s="65" t="str">
        <f>VLOOKUP(C53,Erection!$C$5:$D$307,2,0)</f>
        <v>DA+9</v>
      </c>
      <c r="E53" s="114">
        <v>46164</v>
      </c>
      <c r="F53" s="10" t="s">
        <v>1766</v>
      </c>
      <c r="G53" s="10" t="s">
        <v>1767</v>
      </c>
      <c r="H53" s="10" t="s">
        <v>1150</v>
      </c>
      <c r="I53" s="1017"/>
    </row>
    <row r="54" spans="1:9">
      <c r="A54" s="1001">
        <f t="shared" si="0"/>
        <v>50</v>
      </c>
      <c r="B54" s="10">
        <v>50</v>
      </c>
      <c r="C54" s="669" t="s">
        <v>187</v>
      </c>
      <c r="D54" s="65" t="str">
        <f>VLOOKUP(C54,Erection!$C$5:$D$307,2,0)</f>
        <v>DA+3</v>
      </c>
      <c r="E54" s="114">
        <v>46164</v>
      </c>
      <c r="F54" s="10" t="s">
        <v>1766</v>
      </c>
      <c r="G54" s="10" t="s">
        <v>1769</v>
      </c>
      <c r="H54" s="10" t="s">
        <v>1150</v>
      </c>
      <c r="I54" s="1017"/>
    </row>
    <row r="55" spans="1:9">
      <c r="A55" s="1001">
        <f t="shared" si="0"/>
        <v>51</v>
      </c>
      <c r="B55" s="10">
        <v>51</v>
      </c>
      <c r="C55" s="669" t="s">
        <v>571</v>
      </c>
      <c r="D55" s="65" t="str">
        <f>VLOOKUP(C55,Erection!$C$5:$D$307,2,0)</f>
        <v>DA+0</v>
      </c>
      <c r="E55" s="114">
        <v>46164</v>
      </c>
      <c r="F55" s="10" t="s">
        <v>1766</v>
      </c>
      <c r="G55" s="10" t="s">
        <v>1769</v>
      </c>
      <c r="H55" s="10" t="s">
        <v>1150</v>
      </c>
      <c r="I55" s="1017"/>
    </row>
    <row r="56" spans="1:9">
      <c r="A56" s="1001">
        <f t="shared" si="0"/>
        <v>52</v>
      </c>
      <c r="B56" s="10">
        <v>52</v>
      </c>
      <c r="C56" s="669" t="s">
        <v>572</v>
      </c>
      <c r="D56" s="65" t="str">
        <f>VLOOKUP(C56,Erection!$C$5:$D$307,2,0)</f>
        <v>DA+6</v>
      </c>
      <c r="E56" s="114">
        <v>46164</v>
      </c>
      <c r="F56" s="10" t="s">
        <v>1766</v>
      </c>
      <c r="G56" s="10" t="s">
        <v>1769</v>
      </c>
      <c r="H56" s="10" t="s">
        <v>1150</v>
      </c>
      <c r="I56" s="1017"/>
    </row>
    <row r="57" spans="1:9">
      <c r="A57" s="1001">
        <f t="shared" si="0"/>
        <v>53</v>
      </c>
      <c r="B57" s="10">
        <v>53</v>
      </c>
      <c r="C57" s="669" t="s">
        <v>573</v>
      </c>
      <c r="D57" s="65" t="str">
        <f>VLOOKUP(C57,Erection!$C$5:$D$307,2,0)</f>
        <v>DA+6</v>
      </c>
      <c r="E57" s="114">
        <v>46164</v>
      </c>
      <c r="F57" s="10" t="s">
        <v>1766</v>
      </c>
      <c r="G57" s="10" t="s">
        <v>1769</v>
      </c>
      <c r="H57" s="10" t="s">
        <v>1150</v>
      </c>
      <c r="I57" s="1017"/>
    </row>
    <row r="58" spans="1:9">
      <c r="A58" s="1001">
        <f t="shared" si="0"/>
        <v>54</v>
      </c>
      <c r="B58" s="10">
        <v>54</v>
      </c>
      <c r="C58" s="669" t="s">
        <v>574</v>
      </c>
      <c r="D58" s="65" t="str">
        <f>VLOOKUP(C58,Erection!$C$5:$D$307,2,0)</f>
        <v>DA+3</v>
      </c>
      <c r="E58" s="114">
        <v>46164</v>
      </c>
      <c r="F58" s="10" t="s">
        <v>1766</v>
      </c>
      <c r="G58" s="10" t="s">
        <v>1769</v>
      </c>
      <c r="H58" s="10" t="s">
        <v>1150</v>
      </c>
      <c r="I58" s="1017"/>
    </row>
    <row r="59" spans="1:9">
      <c r="A59" s="1001">
        <f t="shared" si="0"/>
        <v>55</v>
      </c>
      <c r="B59" s="10">
        <v>55</v>
      </c>
      <c r="C59" s="669" t="s">
        <v>575</v>
      </c>
      <c r="D59" s="65" t="str">
        <f>VLOOKUP(C59,Erection!$C$5:$D$307,2,0)</f>
        <v>DA+1.5</v>
      </c>
      <c r="E59" s="114">
        <v>46164</v>
      </c>
      <c r="F59" s="10" t="s">
        <v>1766</v>
      </c>
      <c r="G59" s="10" t="s">
        <v>1769</v>
      </c>
      <c r="H59" s="10" t="s">
        <v>1150</v>
      </c>
      <c r="I59" s="1017"/>
    </row>
    <row r="60" spans="1:9">
      <c r="A60" s="1001">
        <f t="shared" si="0"/>
        <v>56</v>
      </c>
      <c r="B60" s="10">
        <v>56</v>
      </c>
      <c r="C60" s="669" t="s">
        <v>577</v>
      </c>
      <c r="D60" s="65" t="str">
        <f>VLOOKUP(C60,Erection!$C$5:$D$307,2,0)</f>
        <v>DA+9</v>
      </c>
      <c r="E60" s="114">
        <v>46164</v>
      </c>
      <c r="F60" s="10" t="s">
        <v>1766</v>
      </c>
      <c r="G60" s="10" t="s">
        <v>1769</v>
      </c>
      <c r="H60" s="10" t="s">
        <v>1150</v>
      </c>
      <c r="I60" s="1017"/>
    </row>
    <row r="61" spans="1:9">
      <c r="A61" s="1001">
        <f t="shared" si="0"/>
        <v>57</v>
      </c>
      <c r="B61" s="10">
        <v>57</v>
      </c>
      <c r="C61" s="669" t="s">
        <v>578</v>
      </c>
      <c r="D61" s="65" t="str">
        <f>VLOOKUP(C61,Erection!$C$5:$D$307,2,0)</f>
        <v>DA+9</v>
      </c>
      <c r="E61" s="114">
        <v>46164</v>
      </c>
      <c r="F61" s="10" t="s">
        <v>1766</v>
      </c>
      <c r="G61" s="10" t="s">
        <v>1769</v>
      </c>
      <c r="H61" s="10" t="s">
        <v>1150</v>
      </c>
      <c r="I61" s="1017"/>
    </row>
    <row r="62" spans="1:9">
      <c r="A62" s="1001">
        <f t="shared" si="0"/>
        <v>58</v>
      </c>
      <c r="B62" s="10">
        <v>58</v>
      </c>
      <c r="C62" s="669" t="s">
        <v>579</v>
      </c>
      <c r="D62" s="65" t="str">
        <f>VLOOKUP(C62,Erection!$C$5:$D$307,2,0)</f>
        <v>DA+1.5</v>
      </c>
      <c r="E62" s="114">
        <v>46164</v>
      </c>
      <c r="F62" s="10" t="s">
        <v>1766</v>
      </c>
      <c r="G62" s="10" t="s">
        <v>1769</v>
      </c>
      <c r="H62" s="10" t="s">
        <v>1150</v>
      </c>
      <c r="I62" s="1017"/>
    </row>
    <row r="63" spans="1:9">
      <c r="A63" s="1001">
        <f t="shared" si="0"/>
        <v>59</v>
      </c>
      <c r="B63" s="10">
        <v>59</v>
      </c>
      <c r="C63" s="669" t="s">
        <v>580</v>
      </c>
      <c r="D63" s="65" t="str">
        <f>VLOOKUP(C63,Erection!$C$5:$D$307,2,0)</f>
        <v>DA+6</v>
      </c>
      <c r="E63" s="114">
        <v>46164</v>
      </c>
      <c r="F63" s="10" t="s">
        <v>1766</v>
      </c>
      <c r="G63" s="10" t="s">
        <v>1769</v>
      </c>
      <c r="H63" s="10" t="s">
        <v>1150</v>
      </c>
      <c r="I63" s="1017"/>
    </row>
    <row r="64" spans="1:9">
      <c r="A64" s="1001">
        <f t="shared" si="0"/>
        <v>60</v>
      </c>
      <c r="B64" s="10">
        <v>60</v>
      </c>
      <c r="C64" s="669" t="s">
        <v>581</v>
      </c>
      <c r="D64" s="65" t="str">
        <f>VLOOKUP(C64,Erection!$C$5:$D$307,2,0)</f>
        <v>DA+9</v>
      </c>
      <c r="E64" s="114">
        <v>46164</v>
      </c>
      <c r="F64" s="10" t="s">
        <v>1766</v>
      </c>
      <c r="G64" s="10" t="s">
        <v>1769</v>
      </c>
      <c r="H64" s="10" t="s">
        <v>1150</v>
      </c>
      <c r="I64" s="1017"/>
    </row>
    <row r="65" spans="1:9">
      <c r="A65" s="1001">
        <f t="shared" si="0"/>
        <v>61</v>
      </c>
      <c r="B65" s="10">
        <v>61</v>
      </c>
      <c r="C65" s="669" t="s">
        <v>582</v>
      </c>
      <c r="D65" s="65" t="str">
        <f>VLOOKUP(C65,Erection!$C$5:$D$307,2,0)</f>
        <v>DA+3</v>
      </c>
      <c r="E65" s="114">
        <v>46165</v>
      </c>
      <c r="F65" s="10" t="s">
        <v>1766</v>
      </c>
      <c r="G65" s="10" t="s">
        <v>1769</v>
      </c>
      <c r="H65" s="10" t="s">
        <v>1150</v>
      </c>
      <c r="I65" s="1017"/>
    </row>
    <row r="66" spans="1:9">
      <c r="A66" s="1001">
        <f t="shared" si="0"/>
        <v>62</v>
      </c>
      <c r="B66" s="10">
        <v>62</v>
      </c>
      <c r="C66" s="669" t="s">
        <v>583</v>
      </c>
      <c r="D66" s="65" t="str">
        <f>VLOOKUP(C66,Erection!$C$5:$D$307,2,0)</f>
        <v>DA+0</v>
      </c>
      <c r="E66" s="114">
        <v>46165</v>
      </c>
      <c r="F66" s="10" t="s">
        <v>1766</v>
      </c>
      <c r="G66" s="10" t="s">
        <v>1769</v>
      </c>
      <c r="H66" s="10" t="s">
        <v>1150</v>
      </c>
      <c r="I66" s="1017"/>
    </row>
    <row r="67" spans="1:9">
      <c r="A67" s="1001">
        <f t="shared" si="0"/>
        <v>63</v>
      </c>
      <c r="B67" s="10">
        <v>63</v>
      </c>
      <c r="C67" s="669" t="s">
        <v>584</v>
      </c>
      <c r="D67" s="65" t="str">
        <f>VLOOKUP(C67,Erection!$C$5:$D$307,2,0)</f>
        <v>DA+0</v>
      </c>
      <c r="E67" s="114">
        <v>46165</v>
      </c>
      <c r="F67" s="10" t="s">
        <v>1766</v>
      </c>
      <c r="G67" s="10" t="s">
        <v>1769</v>
      </c>
      <c r="H67" s="10" t="s">
        <v>1150</v>
      </c>
      <c r="I67" s="1017"/>
    </row>
    <row r="68" spans="1:9">
      <c r="A68" s="1001">
        <f t="shared" si="0"/>
        <v>64</v>
      </c>
      <c r="B68" s="10">
        <v>64</v>
      </c>
      <c r="C68" s="669" t="s">
        <v>585</v>
      </c>
      <c r="D68" s="65" t="str">
        <f>VLOOKUP(C68,Erection!$C$5:$D$307,2,0)</f>
        <v>DA+1.5</v>
      </c>
      <c r="E68" s="114">
        <v>46165</v>
      </c>
      <c r="F68" s="10" t="s">
        <v>1766</v>
      </c>
      <c r="G68" s="10" t="s">
        <v>1769</v>
      </c>
      <c r="H68" s="10" t="s">
        <v>1150</v>
      </c>
      <c r="I68" s="1017"/>
    </row>
    <row r="69" spans="1:9">
      <c r="A69" s="1001">
        <f t="shared" si="0"/>
        <v>65</v>
      </c>
      <c r="B69" s="10">
        <v>65</v>
      </c>
      <c r="C69" s="669" t="s">
        <v>586</v>
      </c>
      <c r="D69" s="65" t="str">
        <f>VLOOKUP(C69,Erection!$C$5:$D$307,2,0)</f>
        <v>DA-3</v>
      </c>
      <c r="E69" s="114">
        <v>46165</v>
      </c>
      <c r="F69" s="10" t="s">
        <v>1766</v>
      </c>
      <c r="G69" s="10" t="s">
        <v>1769</v>
      </c>
      <c r="H69" s="10" t="s">
        <v>1150</v>
      </c>
      <c r="I69" s="1017"/>
    </row>
    <row r="70" spans="1:9">
      <c r="A70" s="1001">
        <f t="shared" si="0"/>
        <v>66</v>
      </c>
      <c r="B70" s="10">
        <v>66</v>
      </c>
      <c r="C70" s="669" t="s">
        <v>587</v>
      </c>
      <c r="D70" s="65" t="str">
        <f>VLOOKUP(C70,Erection!$C$5:$D$307,2,0)</f>
        <v>DA+1.5</v>
      </c>
      <c r="E70" s="114">
        <v>46165</v>
      </c>
      <c r="F70" s="10" t="s">
        <v>1766</v>
      </c>
      <c r="G70" s="10" t="s">
        <v>1769</v>
      </c>
      <c r="H70" s="10" t="s">
        <v>1150</v>
      </c>
      <c r="I70" s="1017"/>
    </row>
    <row r="71" spans="1:9">
      <c r="A71" s="1001">
        <f t="shared" ref="A71:A137" si="1">A70+1</f>
        <v>67</v>
      </c>
      <c r="B71" s="10">
        <v>67</v>
      </c>
      <c r="C71" s="669" t="s">
        <v>623</v>
      </c>
      <c r="D71" s="65" t="str">
        <f>VLOOKUP(C71,Erection!$C$5:$D$307,2,0)</f>
        <v>DA+3</v>
      </c>
      <c r="E71" s="114">
        <v>46166</v>
      </c>
      <c r="F71" s="10" t="s">
        <v>1766</v>
      </c>
      <c r="G71" s="10" t="s">
        <v>1769</v>
      </c>
      <c r="H71" s="10" t="s">
        <v>1150</v>
      </c>
      <c r="I71" s="1017"/>
    </row>
    <row r="72" spans="1:9">
      <c r="A72" s="1001">
        <f t="shared" si="1"/>
        <v>68</v>
      </c>
      <c r="B72" s="10">
        <v>68</v>
      </c>
      <c r="C72" s="669" t="s">
        <v>624</v>
      </c>
      <c r="D72" s="65" t="str">
        <f>VLOOKUP(C72,Erection!$C$5:$D$307,2,0)</f>
        <v>DA+1.5</v>
      </c>
      <c r="E72" s="114">
        <v>46166</v>
      </c>
      <c r="F72" s="10" t="s">
        <v>1766</v>
      </c>
      <c r="G72" s="10" t="s">
        <v>1769</v>
      </c>
      <c r="H72" s="10" t="s">
        <v>1150</v>
      </c>
      <c r="I72" s="1017"/>
    </row>
    <row r="73" spans="1:9">
      <c r="A73" s="1001">
        <f t="shared" si="1"/>
        <v>69</v>
      </c>
      <c r="B73" s="10">
        <v>69</v>
      </c>
      <c r="C73" s="669" t="s">
        <v>625</v>
      </c>
      <c r="D73" s="65" t="str">
        <f>VLOOKUP(C73,Erection!$C$5:$D$307,2,0)</f>
        <v>DA+1.5</v>
      </c>
      <c r="E73" s="114">
        <v>46166</v>
      </c>
      <c r="F73" s="10" t="s">
        <v>1766</v>
      </c>
      <c r="G73" s="10" t="s">
        <v>1769</v>
      </c>
      <c r="H73" s="10" t="s">
        <v>1150</v>
      </c>
      <c r="I73" s="1017"/>
    </row>
    <row r="74" spans="1:9">
      <c r="A74" s="1001">
        <f t="shared" si="1"/>
        <v>70</v>
      </c>
      <c r="B74" s="10">
        <v>70</v>
      </c>
      <c r="C74" s="669" t="s">
        <v>626</v>
      </c>
      <c r="D74" s="65" t="str">
        <f>VLOOKUP(C74,Erection!$C$5:$D$307,2,0)</f>
        <v>DA+3</v>
      </c>
      <c r="E74" s="114">
        <v>46166</v>
      </c>
      <c r="F74" s="10" t="s">
        <v>1766</v>
      </c>
      <c r="G74" s="10" t="s">
        <v>1769</v>
      </c>
      <c r="H74" s="10" t="s">
        <v>1150</v>
      </c>
      <c r="I74" s="1017"/>
    </row>
    <row r="75" spans="1:9">
      <c r="A75" s="1001">
        <f t="shared" si="1"/>
        <v>71</v>
      </c>
      <c r="B75" s="10">
        <v>71</v>
      </c>
      <c r="C75" s="669" t="s">
        <v>627</v>
      </c>
      <c r="D75" s="65" t="str">
        <f>VLOOKUP(C75,Erection!$C$5:$D$307,2,0)</f>
        <v>DA+1.5</v>
      </c>
      <c r="E75" s="114">
        <v>46166</v>
      </c>
      <c r="F75" s="10" t="s">
        <v>1766</v>
      </c>
      <c r="G75" s="10" t="s">
        <v>1769</v>
      </c>
      <c r="H75" s="10" t="s">
        <v>1150</v>
      </c>
      <c r="I75" s="1017"/>
    </row>
    <row r="76" spans="1:9">
      <c r="A76" s="1001">
        <f t="shared" si="1"/>
        <v>72</v>
      </c>
      <c r="B76" s="10">
        <v>72</v>
      </c>
      <c r="C76" s="669" t="s">
        <v>628</v>
      </c>
      <c r="D76" s="65" t="str">
        <f>VLOOKUP(C76,Erection!$C$5:$D$307,2,0)</f>
        <v>DA+6</v>
      </c>
      <c r="E76" s="114">
        <v>46166</v>
      </c>
      <c r="F76" s="10" t="s">
        <v>1766</v>
      </c>
      <c r="G76" s="10" t="s">
        <v>1769</v>
      </c>
      <c r="H76" s="10" t="s">
        <v>1150</v>
      </c>
      <c r="I76" s="1017"/>
    </row>
    <row r="77" spans="1:9">
      <c r="A77" s="1001">
        <f t="shared" si="1"/>
        <v>73</v>
      </c>
      <c r="B77" s="10">
        <v>73</v>
      </c>
      <c r="C77" s="669" t="s">
        <v>629</v>
      </c>
      <c r="D77" s="65" t="str">
        <f>VLOOKUP(C77,Erection!$C$5:$D$307,2,0)</f>
        <v>DA+3</v>
      </c>
      <c r="E77" s="114">
        <v>46166</v>
      </c>
      <c r="F77" s="10" t="s">
        <v>1766</v>
      </c>
      <c r="G77" s="10" t="s">
        <v>1769</v>
      </c>
      <c r="H77" s="10" t="s">
        <v>1150</v>
      </c>
      <c r="I77" s="1017"/>
    </row>
    <row r="78" spans="1:9">
      <c r="A78" s="1001">
        <f t="shared" si="1"/>
        <v>74</v>
      </c>
      <c r="B78" s="10">
        <v>74</v>
      </c>
      <c r="C78" s="669" t="s">
        <v>630</v>
      </c>
      <c r="D78" s="65" t="str">
        <f>VLOOKUP(C78,Erection!$C$5:$D$307,2,0)</f>
        <v>DA+6</v>
      </c>
      <c r="E78" s="114">
        <v>46166</v>
      </c>
      <c r="F78" s="10" t="s">
        <v>1766</v>
      </c>
      <c r="G78" s="10" t="s">
        <v>1769</v>
      </c>
      <c r="H78" s="10" t="s">
        <v>1150</v>
      </c>
      <c r="I78" s="1017"/>
    </row>
    <row r="79" spans="1:9">
      <c r="A79" s="1001">
        <f t="shared" si="1"/>
        <v>75</v>
      </c>
      <c r="B79" s="10">
        <v>75</v>
      </c>
      <c r="C79" s="669" t="s">
        <v>613</v>
      </c>
      <c r="D79" s="65" t="str">
        <f>VLOOKUP(C79,Erection!$C$5:$D$307,2,0)</f>
        <v>DA+3</v>
      </c>
      <c r="E79" s="114">
        <v>46167</v>
      </c>
      <c r="F79" s="10" t="s">
        <v>1766</v>
      </c>
      <c r="G79" s="10" t="s">
        <v>1769</v>
      </c>
      <c r="H79" s="10" t="s">
        <v>1150</v>
      </c>
      <c r="I79" s="1017"/>
    </row>
    <row r="80" spans="1:9">
      <c r="A80" s="1001">
        <f t="shared" si="1"/>
        <v>76</v>
      </c>
      <c r="B80" s="10">
        <v>76</v>
      </c>
      <c r="C80" s="669" t="s">
        <v>614</v>
      </c>
      <c r="D80" s="65" t="str">
        <f>VLOOKUP(C80,Erection!$C$5:$D$307,2,0)</f>
        <v>DA+6</v>
      </c>
      <c r="E80" s="114">
        <v>46167</v>
      </c>
      <c r="F80" s="10" t="s">
        <v>1766</v>
      </c>
      <c r="G80" s="10" t="s">
        <v>1769</v>
      </c>
      <c r="H80" s="10" t="s">
        <v>1150</v>
      </c>
      <c r="I80" s="1017"/>
    </row>
    <row r="81" spans="1:9">
      <c r="A81" s="1001">
        <f t="shared" si="1"/>
        <v>77</v>
      </c>
      <c r="B81" s="10">
        <v>77</v>
      </c>
      <c r="C81" s="669" t="s">
        <v>615</v>
      </c>
      <c r="D81" s="65" t="str">
        <f>VLOOKUP(C81,Erection!$C$5:$D$307,2,0)</f>
        <v>DA+9</v>
      </c>
      <c r="E81" s="114">
        <v>46167</v>
      </c>
      <c r="F81" s="10" t="s">
        <v>1766</v>
      </c>
      <c r="G81" s="10" t="s">
        <v>1769</v>
      </c>
      <c r="H81" s="10" t="s">
        <v>1150</v>
      </c>
      <c r="I81" s="1017"/>
    </row>
    <row r="82" spans="1:9">
      <c r="A82" s="1001">
        <f t="shared" si="1"/>
        <v>78</v>
      </c>
      <c r="B82" s="10">
        <v>78</v>
      </c>
      <c r="C82" s="669" t="s">
        <v>616</v>
      </c>
      <c r="D82" s="65" t="str">
        <f>VLOOKUP(C82,Erection!$C$5:$D$307,2,0)</f>
        <v>DA+1.5</v>
      </c>
      <c r="E82" s="114">
        <v>46167</v>
      </c>
      <c r="F82" s="10" t="s">
        <v>1766</v>
      </c>
      <c r="G82" s="10" t="s">
        <v>1769</v>
      </c>
      <c r="H82" s="10" t="s">
        <v>1150</v>
      </c>
      <c r="I82" s="1017"/>
    </row>
    <row r="83" spans="1:9">
      <c r="A83" s="1001">
        <f t="shared" si="1"/>
        <v>79</v>
      </c>
      <c r="B83" s="10">
        <v>79</v>
      </c>
      <c r="C83" s="669" t="s">
        <v>617</v>
      </c>
      <c r="D83" s="65" t="str">
        <f>VLOOKUP(C83,Erection!$C$5:$D$307,2,0)</f>
        <v>DA+0</v>
      </c>
      <c r="E83" s="114">
        <v>46167</v>
      </c>
      <c r="F83" s="10" t="s">
        <v>1766</v>
      </c>
      <c r="G83" s="10" t="s">
        <v>1769</v>
      </c>
      <c r="H83" s="10" t="s">
        <v>1150</v>
      </c>
      <c r="I83" s="1017"/>
    </row>
    <row r="84" spans="1:9">
      <c r="A84" s="1001">
        <f t="shared" si="1"/>
        <v>80</v>
      </c>
      <c r="B84" s="10">
        <v>80</v>
      </c>
      <c r="C84" s="669" t="s">
        <v>618</v>
      </c>
      <c r="D84" s="65" t="str">
        <f>VLOOKUP(C84,Erection!$C$5:$D$307,2,0)</f>
        <v>DA+3</v>
      </c>
      <c r="E84" s="114">
        <v>46167</v>
      </c>
      <c r="F84" s="10" t="s">
        <v>1766</v>
      </c>
      <c r="G84" s="10" t="s">
        <v>1769</v>
      </c>
      <c r="H84" s="10" t="s">
        <v>1150</v>
      </c>
      <c r="I84" s="1017"/>
    </row>
    <row r="85" spans="1:9">
      <c r="A85" s="1001">
        <f t="shared" si="1"/>
        <v>81</v>
      </c>
      <c r="B85" s="10">
        <v>81</v>
      </c>
      <c r="C85" s="669" t="s">
        <v>620</v>
      </c>
      <c r="D85" s="65" t="str">
        <f>VLOOKUP(C85,Erection!$C$5:$D$307,2,0)</f>
        <v>DA-1.5</v>
      </c>
      <c r="E85" s="114">
        <v>46167</v>
      </c>
      <c r="F85" s="10" t="s">
        <v>1766</v>
      </c>
      <c r="G85" s="10" t="s">
        <v>1769</v>
      </c>
      <c r="H85" s="10" t="s">
        <v>1150</v>
      </c>
      <c r="I85" s="1017"/>
    </row>
    <row r="86" spans="1:9">
      <c r="A86" s="1001">
        <f t="shared" si="1"/>
        <v>82</v>
      </c>
      <c r="B86" s="10">
        <v>82</v>
      </c>
      <c r="C86" s="669" t="s">
        <v>621</v>
      </c>
      <c r="D86" s="65" t="str">
        <f>VLOOKUP(C86,Erection!$C$5:$D$307,2,0)</f>
        <v>DA+3</v>
      </c>
      <c r="E86" s="114">
        <v>46167</v>
      </c>
      <c r="F86" s="10" t="s">
        <v>1766</v>
      </c>
      <c r="G86" s="10" t="s">
        <v>1769</v>
      </c>
      <c r="H86" s="10" t="s">
        <v>1150</v>
      </c>
      <c r="I86" s="1017"/>
    </row>
    <row r="87" spans="1:9">
      <c r="A87" s="1001">
        <f t="shared" si="1"/>
        <v>83</v>
      </c>
      <c r="B87" s="10">
        <v>83</v>
      </c>
      <c r="C87" s="669" t="s">
        <v>622</v>
      </c>
      <c r="D87" s="65" t="str">
        <f>VLOOKUP(C87,Erection!$C$5:$D$307,2,0)</f>
        <v>DA+1.5</v>
      </c>
      <c r="E87" s="114">
        <v>46167</v>
      </c>
      <c r="F87" s="10" t="s">
        <v>1766</v>
      </c>
      <c r="G87" s="10" t="s">
        <v>1769</v>
      </c>
      <c r="H87" s="10" t="s">
        <v>1150</v>
      </c>
      <c r="I87" s="1017"/>
    </row>
    <row r="88" spans="1:9">
      <c r="A88" s="1001">
        <f t="shared" si="1"/>
        <v>84</v>
      </c>
      <c r="B88" s="10">
        <v>84</v>
      </c>
      <c r="C88" s="669" t="s">
        <v>778</v>
      </c>
      <c r="D88" s="65" t="str">
        <f>VLOOKUP(C88,Erection!$C$5:$D$307,2,0)</f>
        <v>DA+3</v>
      </c>
      <c r="E88" s="114">
        <v>46168</v>
      </c>
      <c r="F88" s="10" t="s">
        <v>1766</v>
      </c>
      <c r="G88" s="10" t="s">
        <v>1769</v>
      </c>
      <c r="H88" s="10" t="s">
        <v>1150</v>
      </c>
      <c r="I88" s="1017"/>
    </row>
    <row r="89" spans="1:9">
      <c r="A89" s="1001">
        <f t="shared" si="1"/>
        <v>85</v>
      </c>
      <c r="B89" s="10">
        <v>85</v>
      </c>
      <c r="C89" s="669" t="s">
        <v>779</v>
      </c>
      <c r="D89" s="65" t="str">
        <f>VLOOKUP(C89,Erection!$C$5:$D$307,2,0)</f>
        <v>DA+1.5</v>
      </c>
      <c r="E89" s="114">
        <v>46168</v>
      </c>
      <c r="F89" s="10" t="s">
        <v>1766</v>
      </c>
      <c r="G89" s="10" t="s">
        <v>1769</v>
      </c>
      <c r="H89" s="10" t="s">
        <v>1150</v>
      </c>
      <c r="I89" s="1017"/>
    </row>
    <row r="90" spans="1:9">
      <c r="A90" s="1001">
        <f t="shared" si="1"/>
        <v>86</v>
      </c>
      <c r="B90" s="10">
        <v>86</v>
      </c>
      <c r="C90" s="669" t="s">
        <v>780</v>
      </c>
      <c r="D90" s="65" t="str">
        <f>VLOOKUP(C90,Erection!$C$5:$D$307,2,0)</f>
        <v>DA+3</v>
      </c>
      <c r="E90" s="114">
        <v>46168</v>
      </c>
      <c r="F90" s="10" t="s">
        <v>1766</v>
      </c>
      <c r="G90" s="10" t="s">
        <v>1769</v>
      </c>
      <c r="H90" s="10" t="s">
        <v>1150</v>
      </c>
      <c r="I90" s="1017"/>
    </row>
    <row r="91" spans="1:9">
      <c r="A91" s="1001">
        <f t="shared" si="1"/>
        <v>87</v>
      </c>
      <c r="B91" s="10">
        <v>87</v>
      </c>
      <c r="C91" s="669" t="s">
        <v>781</v>
      </c>
      <c r="D91" s="65" t="str">
        <f>VLOOKUP(C91,Erection!$C$5:$D$307,2,0)</f>
        <v>DA+9</v>
      </c>
      <c r="E91" s="114">
        <v>46168</v>
      </c>
      <c r="F91" s="10" t="s">
        <v>1766</v>
      </c>
      <c r="G91" s="10" t="s">
        <v>1769</v>
      </c>
      <c r="H91" s="10" t="s">
        <v>1150</v>
      </c>
      <c r="I91" s="1017"/>
    </row>
    <row r="92" spans="1:9">
      <c r="A92" s="1001">
        <f t="shared" si="1"/>
        <v>88</v>
      </c>
      <c r="B92" s="10">
        <v>88</v>
      </c>
      <c r="C92" s="669" t="s">
        <v>782</v>
      </c>
      <c r="D92" s="65" t="str">
        <f>VLOOKUP(C92,Erection!$C$5:$D$307,2,0)</f>
        <v>DA+3</v>
      </c>
      <c r="E92" s="114">
        <v>46168</v>
      </c>
      <c r="F92" s="10" t="s">
        <v>1766</v>
      </c>
      <c r="G92" s="10" t="s">
        <v>1769</v>
      </c>
      <c r="H92" s="10" t="s">
        <v>1150</v>
      </c>
      <c r="I92" s="1017"/>
    </row>
    <row r="93" spans="1:9">
      <c r="A93" s="1001">
        <f t="shared" si="1"/>
        <v>89</v>
      </c>
      <c r="B93" s="10">
        <v>89</v>
      </c>
      <c r="C93" s="669" t="s">
        <v>783</v>
      </c>
      <c r="D93" s="65" t="str">
        <f>VLOOKUP(C93,Erection!$C$5:$D$307,2,0)</f>
        <v>DA+3</v>
      </c>
      <c r="E93" s="114">
        <v>46168</v>
      </c>
      <c r="F93" s="10" t="s">
        <v>1766</v>
      </c>
      <c r="G93" s="10" t="s">
        <v>1769</v>
      </c>
      <c r="H93" s="10" t="s">
        <v>1150</v>
      </c>
      <c r="I93" s="1017"/>
    </row>
    <row r="94" spans="1:9">
      <c r="A94" s="1001">
        <f t="shared" si="1"/>
        <v>90</v>
      </c>
      <c r="B94" s="10">
        <v>90</v>
      </c>
      <c r="C94" s="1288" t="s">
        <v>1260</v>
      </c>
      <c r="D94" s="65" t="str">
        <f>VLOOKUP(C94,Erection!$C$5:$D$307,2,0)</f>
        <v>DA+3</v>
      </c>
      <c r="E94" s="114">
        <v>46168</v>
      </c>
      <c r="F94" s="10" t="s">
        <v>1766</v>
      </c>
      <c r="G94" s="10" t="s">
        <v>1767</v>
      </c>
      <c r="H94" s="10" t="s">
        <v>1150</v>
      </c>
      <c r="I94" s="1300"/>
    </row>
    <row r="95" spans="1:9">
      <c r="A95" s="1001">
        <f t="shared" si="1"/>
        <v>91</v>
      </c>
      <c r="B95" s="10">
        <v>91</v>
      </c>
      <c r="C95" s="1288" t="s">
        <v>1261</v>
      </c>
      <c r="D95" s="65" t="str">
        <f>VLOOKUP(C95,Erection!$C$5:$D$307,2,0)</f>
        <v>DA+0</v>
      </c>
      <c r="E95" s="114">
        <v>46168</v>
      </c>
      <c r="F95" s="10" t="s">
        <v>1766</v>
      </c>
      <c r="G95" s="10" t="s">
        <v>1767</v>
      </c>
      <c r="H95" s="10" t="s">
        <v>1150</v>
      </c>
      <c r="I95" s="1300"/>
    </row>
    <row r="96" spans="1:9">
      <c r="A96" s="1001">
        <f t="shared" si="1"/>
        <v>92</v>
      </c>
      <c r="B96" s="10">
        <v>92</v>
      </c>
      <c r="C96" s="1288" t="s">
        <v>1262</v>
      </c>
      <c r="D96" s="65" t="str">
        <f>VLOOKUP(C96,Erection!$C$5:$D$307,2,0)</f>
        <v>DA+0</v>
      </c>
      <c r="E96" s="114">
        <v>46168</v>
      </c>
      <c r="F96" s="10" t="s">
        <v>1766</v>
      </c>
      <c r="G96" s="10" t="s">
        <v>1767</v>
      </c>
      <c r="H96" s="10" t="s">
        <v>1150</v>
      </c>
      <c r="I96" s="1300"/>
    </row>
    <row r="97" spans="1:9">
      <c r="A97" s="1001">
        <f t="shared" si="1"/>
        <v>93</v>
      </c>
      <c r="B97" s="10">
        <v>93</v>
      </c>
      <c r="C97" s="1288" t="s">
        <v>1263</v>
      </c>
      <c r="D97" s="65" t="str">
        <f>VLOOKUP(C97,Erection!$C$5:$D$307,2,0)</f>
        <v>DA+3</v>
      </c>
      <c r="E97" s="114">
        <v>46168</v>
      </c>
      <c r="F97" s="10" t="s">
        <v>1766</v>
      </c>
      <c r="G97" s="10" t="s">
        <v>1767</v>
      </c>
      <c r="H97" s="10" t="s">
        <v>1150</v>
      </c>
      <c r="I97" s="1300"/>
    </row>
    <row r="98" spans="1:9">
      <c r="A98" s="1001">
        <f t="shared" si="1"/>
        <v>94</v>
      </c>
      <c r="B98" s="10">
        <v>94</v>
      </c>
      <c r="C98" s="1288" t="s">
        <v>1264</v>
      </c>
      <c r="D98" s="65" t="str">
        <f>VLOOKUP(C98,Erection!$C$5:$D$307,2,0)</f>
        <v>DA+0</v>
      </c>
      <c r="E98" s="114">
        <v>46168</v>
      </c>
      <c r="F98" s="10" t="s">
        <v>1766</v>
      </c>
      <c r="G98" s="10" t="s">
        <v>1767</v>
      </c>
      <c r="H98" s="10" t="s">
        <v>1150</v>
      </c>
      <c r="I98" s="1300"/>
    </row>
    <row r="99" spans="1:9">
      <c r="A99" s="1001">
        <f t="shared" si="1"/>
        <v>95</v>
      </c>
      <c r="B99" s="10">
        <v>95</v>
      </c>
      <c r="C99" s="1288" t="s">
        <v>1266</v>
      </c>
      <c r="D99" s="65" t="str">
        <f>VLOOKUP(C99,Erection!$C$5:$D$307,2,0)</f>
        <v>DA+3</v>
      </c>
      <c r="E99" s="114">
        <v>46168</v>
      </c>
      <c r="F99" s="10" t="s">
        <v>1766</v>
      </c>
      <c r="G99" s="10" t="s">
        <v>1767</v>
      </c>
      <c r="H99" s="10" t="s">
        <v>1150</v>
      </c>
      <c r="I99" s="1300"/>
    </row>
    <row r="100" spans="1:9">
      <c r="A100" s="1001">
        <f t="shared" si="1"/>
        <v>96</v>
      </c>
      <c r="B100" s="10">
        <v>96</v>
      </c>
      <c r="C100" s="1288" t="s">
        <v>1267</v>
      </c>
      <c r="D100" s="65" t="str">
        <f>VLOOKUP(C100,Erection!$C$5:$D$307,2,0)</f>
        <v>DA+9</v>
      </c>
      <c r="E100" s="114">
        <v>46168</v>
      </c>
      <c r="F100" s="10" t="s">
        <v>1766</v>
      </c>
      <c r="G100" s="10" t="s">
        <v>1767</v>
      </c>
      <c r="H100" s="10" t="s">
        <v>1150</v>
      </c>
      <c r="I100" s="1300"/>
    </row>
    <row r="101" spans="1:9">
      <c r="A101" s="1001">
        <f t="shared" si="1"/>
        <v>97</v>
      </c>
      <c r="B101" s="10">
        <v>97</v>
      </c>
      <c r="C101" s="1288" t="s">
        <v>1268</v>
      </c>
      <c r="D101" s="65" t="str">
        <f>VLOOKUP(C101,Erection!$C$5:$D$307,2,0)</f>
        <v>DA+6</v>
      </c>
      <c r="E101" s="114">
        <v>46168</v>
      </c>
      <c r="F101" s="10" t="s">
        <v>1766</v>
      </c>
      <c r="G101" s="10" t="s">
        <v>1767</v>
      </c>
      <c r="H101" s="10" t="s">
        <v>1150</v>
      </c>
      <c r="I101" s="1300"/>
    </row>
    <row r="102" spans="1:9">
      <c r="A102" s="1001">
        <f t="shared" si="1"/>
        <v>98</v>
      </c>
      <c r="B102" s="10">
        <v>98</v>
      </c>
      <c r="C102" s="1288" t="s">
        <v>454</v>
      </c>
      <c r="D102" s="65" t="str">
        <f>VLOOKUP(C102,Erection!$C$5:$D$307,2,0)</f>
        <v>DA+6</v>
      </c>
      <c r="E102" s="114">
        <v>46168</v>
      </c>
      <c r="F102" s="10" t="s">
        <v>1766</v>
      </c>
      <c r="G102" s="10" t="s">
        <v>1767</v>
      </c>
      <c r="H102" s="10" t="s">
        <v>1150</v>
      </c>
      <c r="I102" s="1300"/>
    </row>
    <row r="103" spans="1:9">
      <c r="A103" s="1001">
        <f t="shared" si="1"/>
        <v>99</v>
      </c>
      <c r="B103" s="10">
        <v>99</v>
      </c>
      <c r="C103" s="1288" t="s">
        <v>893</v>
      </c>
      <c r="D103" s="65" t="str">
        <f>VLOOKUP(C103,Erection!$C$5:$D$307,2,0)</f>
        <v>DA+6</v>
      </c>
      <c r="E103" s="114">
        <v>46168</v>
      </c>
      <c r="F103" s="10" t="s">
        <v>1766</v>
      </c>
      <c r="G103" s="10" t="s">
        <v>1767</v>
      </c>
      <c r="H103" s="10" t="s">
        <v>1150</v>
      </c>
      <c r="I103" s="1300"/>
    </row>
    <row r="104" spans="1:9">
      <c r="A104" s="1001">
        <f t="shared" si="1"/>
        <v>100</v>
      </c>
      <c r="B104" s="10">
        <v>100</v>
      </c>
      <c r="C104" s="1288" t="s">
        <v>392</v>
      </c>
      <c r="D104" s="65" t="str">
        <f>VLOOKUP(C104,Erection!$C$5:$D$307,2,0)</f>
        <v>DA-3</v>
      </c>
      <c r="E104" s="1289">
        <v>46170</v>
      </c>
      <c r="F104" s="10" t="s">
        <v>1766</v>
      </c>
      <c r="G104" s="1284" t="s">
        <v>1769</v>
      </c>
      <c r="H104" s="10" t="s">
        <v>1150</v>
      </c>
      <c r="I104" s="1300"/>
    </row>
    <row r="105" spans="1:9">
      <c r="A105" s="1001">
        <f t="shared" si="1"/>
        <v>101</v>
      </c>
      <c r="B105" s="10">
        <v>101</v>
      </c>
      <c r="C105" s="1288" t="s">
        <v>393</v>
      </c>
      <c r="D105" s="65" t="str">
        <f>VLOOKUP(C105,Erection!$C$5:$D$307,2,0)</f>
        <v>DA+6</v>
      </c>
      <c r="E105" s="1289">
        <v>46170</v>
      </c>
      <c r="F105" s="10" t="s">
        <v>1766</v>
      </c>
      <c r="G105" s="1284" t="s">
        <v>1769</v>
      </c>
      <c r="H105" s="10" t="s">
        <v>1150</v>
      </c>
      <c r="I105" s="1300"/>
    </row>
    <row r="106" spans="1:9">
      <c r="A106" s="1001">
        <f t="shared" si="1"/>
        <v>102</v>
      </c>
      <c r="B106" s="10">
        <v>102</v>
      </c>
      <c r="C106" s="1288" t="s">
        <v>396</v>
      </c>
      <c r="D106" s="65" t="str">
        <f>VLOOKUP(C106,Erection!$C$5:$D$307,2,0)</f>
        <v>DA+9</v>
      </c>
      <c r="E106" s="1289">
        <v>46170</v>
      </c>
      <c r="F106" s="10" t="s">
        <v>1766</v>
      </c>
      <c r="G106" s="1284" t="s">
        <v>1769</v>
      </c>
      <c r="H106" s="10" t="s">
        <v>1150</v>
      </c>
      <c r="I106" s="1300"/>
    </row>
    <row r="107" spans="1:9">
      <c r="A107" s="1001">
        <f t="shared" si="1"/>
        <v>103</v>
      </c>
      <c r="B107" s="10">
        <v>103</v>
      </c>
      <c r="C107" s="1288" t="s">
        <v>397</v>
      </c>
      <c r="D107" s="65" t="str">
        <f>VLOOKUP(C107,Erection!$C$5:$D$307,2,0)</f>
        <v>DA+3</v>
      </c>
      <c r="E107" s="1289">
        <v>46170</v>
      </c>
      <c r="F107" s="10" t="s">
        <v>1766</v>
      </c>
      <c r="G107" s="1284" t="s">
        <v>1769</v>
      </c>
      <c r="H107" s="10" t="s">
        <v>1150</v>
      </c>
      <c r="I107" s="1300"/>
    </row>
    <row r="108" spans="1:9">
      <c r="A108" s="1001">
        <f t="shared" si="1"/>
        <v>104</v>
      </c>
      <c r="B108" s="10">
        <v>104</v>
      </c>
      <c r="C108" s="1288" t="s">
        <v>398</v>
      </c>
      <c r="D108" s="65" t="str">
        <f>VLOOKUP(C108,Erection!$C$5:$D$307,2,0)</f>
        <v>DA+3</v>
      </c>
      <c r="E108" s="1289">
        <v>46170</v>
      </c>
      <c r="F108" s="10" t="s">
        <v>1766</v>
      </c>
      <c r="G108" s="1284" t="s">
        <v>1769</v>
      </c>
      <c r="H108" s="10" t="s">
        <v>1150</v>
      </c>
      <c r="I108" s="1300"/>
    </row>
    <row r="109" spans="1:9">
      <c r="A109" s="1001">
        <f t="shared" si="1"/>
        <v>105</v>
      </c>
      <c r="B109" s="10">
        <v>105</v>
      </c>
      <c r="C109" s="1288" t="s">
        <v>399</v>
      </c>
      <c r="D109" s="65" t="str">
        <f>VLOOKUP(C109,Erection!$C$5:$D$307,2,0)</f>
        <v>DA+9</v>
      </c>
      <c r="E109" s="1289">
        <v>46170</v>
      </c>
      <c r="F109" s="10" t="s">
        <v>1766</v>
      </c>
      <c r="G109" s="1284" t="s">
        <v>1769</v>
      </c>
      <c r="H109" s="10" t="s">
        <v>1150</v>
      </c>
      <c r="I109" s="1300"/>
    </row>
    <row r="110" spans="1:9">
      <c r="A110" s="1001">
        <f t="shared" si="1"/>
        <v>106</v>
      </c>
      <c r="B110" s="10">
        <v>106</v>
      </c>
      <c r="C110" s="1288" t="s">
        <v>400</v>
      </c>
      <c r="D110" s="65" t="str">
        <f>VLOOKUP(C110,Erection!$C$5:$D$307,2,0)</f>
        <v>DA+3</v>
      </c>
      <c r="E110" s="1289">
        <v>46170</v>
      </c>
      <c r="F110" s="10" t="s">
        <v>1766</v>
      </c>
      <c r="G110" s="1284" t="s">
        <v>1769</v>
      </c>
      <c r="H110" s="10" t="s">
        <v>1150</v>
      </c>
      <c r="I110" s="1300"/>
    </row>
    <row r="111" spans="1:9">
      <c r="A111" s="1001">
        <f t="shared" si="1"/>
        <v>107</v>
      </c>
      <c r="B111" s="10">
        <v>107</v>
      </c>
      <c r="C111" s="1288" t="s">
        <v>401</v>
      </c>
      <c r="D111" s="65" t="str">
        <f>VLOOKUP(C111,Erection!$C$5:$D$307,2,0)</f>
        <v>DA+0</v>
      </c>
      <c r="E111" s="1289">
        <v>46170</v>
      </c>
      <c r="F111" s="10" t="s">
        <v>1766</v>
      </c>
      <c r="G111" s="1284" t="s">
        <v>1769</v>
      </c>
      <c r="H111" s="10" t="s">
        <v>1150</v>
      </c>
      <c r="I111" s="1300"/>
    </row>
    <row r="112" spans="1:9">
      <c r="A112" s="1001">
        <f t="shared" si="1"/>
        <v>108</v>
      </c>
      <c r="B112" s="10">
        <v>108</v>
      </c>
      <c r="C112" s="1288" t="s">
        <v>494</v>
      </c>
      <c r="D112" s="65" t="str">
        <f>VLOOKUP(C112,Erection!$C$5:$D$307,2,0)</f>
        <v>DA+1.5</v>
      </c>
      <c r="E112" s="1289">
        <v>46171</v>
      </c>
      <c r="F112" s="10" t="s">
        <v>1766</v>
      </c>
      <c r="G112" s="1284" t="s">
        <v>1769</v>
      </c>
      <c r="H112" s="10" t="s">
        <v>1150</v>
      </c>
      <c r="I112" s="1300"/>
    </row>
    <row r="113" spans="1:9">
      <c r="A113" s="1001">
        <f t="shared" si="1"/>
        <v>109</v>
      </c>
      <c r="B113" s="10">
        <v>109</v>
      </c>
      <c r="C113" s="1288" t="s">
        <v>495</v>
      </c>
      <c r="D113" s="65" t="str">
        <f>VLOOKUP(C113,Erection!$C$5:$D$307,2,0)</f>
        <v>DA+3</v>
      </c>
      <c r="E113" s="1289">
        <v>46171</v>
      </c>
      <c r="F113" s="10" t="s">
        <v>1766</v>
      </c>
      <c r="G113" s="1284" t="s">
        <v>1769</v>
      </c>
      <c r="H113" s="10" t="s">
        <v>1150</v>
      </c>
      <c r="I113" s="1300"/>
    </row>
    <row r="114" spans="1:9">
      <c r="A114" s="1001">
        <f t="shared" si="1"/>
        <v>110</v>
      </c>
      <c r="B114" s="10">
        <v>110</v>
      </c>
      <c r="C114" s="1288" t="s">
        <v>496</v>
      </c>
      <c r="D114" s="65" t="str">
        <f>VLOOKUP(C114,Erection!$C$5:$D$307,2,0)</f>
        <v>DA+3</v>
      </c>
      <c r="E114" s="1289">
        <v>46171</v>
      </c>
      <c r="F114" s="10" t="s">
        <v>1766</v>
      </c>
      <c r="G114" s="1284" t="s">
        <v>1769</v>
      </c>
      <c r="H114" s="10" t="s">
        <v>1150</v>
      </c>
      <c r="I114" s="1300"/>
    </row>
    <row r="115" spans="1:9">
      <c r="A115" s="1001">
        <f t="shared" si="1"/>
        <v>111</v>
      </c>
      <c r="B115" s="10">
        <v>111</v>
      </c>
      <c r="C115" s="1288" t="s">
        <v>497</v>
      </c>
      <c r="D115" s="65" t="str">
        <f>VLOOKUP(C115,Erection!$C$5:$D$307,2,0)</f>
        <v>DA+3</v>
      </c>
      <c r="E115" s="1289">
        <v>46171</v>
      </c>
      <c r="F115" s="10" t="s">
        <v>1766</v>
      </c>
      <c r="G115" s="1284" t="s">
        <v>1769</v>
      </c>
      <c r="H115" s="10" t="s">
        <v>1150</v>
      </c>
      <c r="I115" s="1300"/>
    </row>
    <row r="116" spans="1:9">
      <c r="A116" s="1001">
        <f t="shared" si="1"/>
        <v>112</v>
      </c>
      <c r="B116" s="10">
        <v>112</v>
      </c>
      <c r="C116" s="1288" t="s">
        <v>498</v>
      </c>
      <c r="D116" s="65" t="str">
        <f>VLOOKUP(C116,Erection!$C$5:$D$307,2,0)</f>
        <v>DA+3</v>
      </c>
      <c r="E116" s="1289">
        <v>46171</v>
      </c>
      <c r="F116" s="10" t="s">
        <v>1766</v>
      </c>
      <c r="G116" s="1284" t="s">
        <v>1769</v>
      </c>
      <c r="H116" s="10" t="s">
        <v>1150</v>
      </c>
      <c r="I116" s="1300"/>
    </row>
    <row r="117" spans="1:9">
      <c r="A117" s="1001">
        <f t="shared" si="1"/>
        <v>113</v>
      </c>
      <c r="B117" s="10">
        <v>113</v>
      </c>
      <c r="C117" s="1288" t="s">
        <v>478</v>
      </c>
      <c r="D117" s="65" t="str">
        <f>VLOOKUP(C117,Erection!$C$5:$D$307,2,0)</f>
        <v>DA-3</v>
      </c>
      <c r="E117" s="1289">
        <v>46172</v>
      </c>
      <c r="F117" s="10" t="s">
        <v>1766</v>
      </c>
      <c r="G117" s="1284" t="s">
        <v>1769</v>
      </c>
      <c r="H117" s="10" t="s">
        <v>1150</v>
      </c>
      <c r="I117" s="1300"/>
    </row>
    <row r="118" spans="1:9">
      <c r="A118" s="1001">
        <f t="shared" si="1"/>
        <v>114</v>
      </c>
      <c r="B118" s="10">
        <v>114</v>
      </c>
      <c r="C118" s="1288" t="s">
        <v>479</v>
      </c>
      <c r="D118" s="65" t="str">
        <f>VLOOKUP(C118,Erection!$C$5:$D$307,2,0)</f>
        <v>DA+6</v>
      </c>
      <c r="E118" s="1289">
        <v>46172</v>
      </c>
      <c r="F118" s="10" t="s">
        <v>1766</v>
      </c>
      <c r="G118" s="1284" t="s">
        <v>1769</v>
      </c>
      <c r="H118" s="10" t="s">
        <v>1150</v>
      </c>
      <c r="I118" s="1300"/>
    </row>
    <row r="119" spans="1:9">
      <c r="A119" s="1001">
        <f t="shared" si="1"/>
        <v>115</v>
      </c>
      <c r="B119" s="10">
        <v>115</v>
      </c>
      <c r="C119" s="1288" t="s">
        <v>480</v>
      </c>
      <c r="D119" s="65" t="str">
        <f>VLOOKUP(C119,Erection!$C$5:$D$307,2,0)</f>
        <v>DA+9</v>
      </c>
      <c r="E119" s="1289">
        <v>46172</v>
      </c>
      <c r="F119" s="10" t="s">
        <v>1766</v>
      </c>
      <c r="G119" s="1284" t="s">
        <v>1769</v>
      </c>
      <c r="H119" s="10" t="s">
        <v>1150</v>
      </c>
      <c r="I119" s="1300"/>
    </row>
    <row r="120" spans="1:9">
      <c r="A120" s="1001">
        <f t="shared" si="1"/>
        <v>116</v>
      </c>
      <c r="B120" s="10">
        <v>116</v>
      </c>
      <c r="C120" s="1288" t="s">
        <v>482</v>
      </c>
      <c r="D120" s="65" t="str">
        <f>VLOOKUP(C120,Erection!$C$5:$D$307,2,0)</f>
        <v>DA+6</v>
      </c>
      <c r="E120" s="1289">
        <v>46172</v>
      </c>
      <c r="F120" s="10" t="s">
        <v>1766</v>
      </c>
      <c r="G120" s="1284" t="s">
        <v>1769</v>
      </c>
      <c r="H120" s="10" t="s">
        <v>1150</v>
      </c>
      <c r="I120" s="1300"/>
    </row>
    <row r="121" spans="1:9">
      <c r="A121" s="1001">
        <f t="shared" si="1"/>
        <v>117</v>
      </c>
      <c r="B121" s="10">
        <v>117</v>
      </c>
      <c r="C121" s="1288" t="s">
        <v>483</v>
      </c>
      <c r="D121" s="65" t="str">
        <f>VLOOKUP(C121,Erection!$C$5:$D$307,2,0)</f>
        <v>DA-1.5</v>
      </c>
      <c r="E121" s="1289">
        <v>46172</v>
      </c>
      <c r="F121" s="10" t="s">
        <v>1766</v>
      </c>
      <c r="G121" s="1284" t="s">
        <v>1769</v>
      </c>
      <c r="H121" s="10" t="s">
        <v>1150</v>
      </c>
      <c r="I121" s="1300"/>
    </row>
    <row r="122" spans="1:9">
      <c r="A122" s="1001">
        <f t="shared" si="1"/>
        <v>118</v>
      </c>
      <c r="B122" s="10">
        <v>118</v>
      </c>
      <c r="C122" s="1288" t="s">
        <v>474</v>
      </c>
      <c r="D122" s="65" t="str">
        <f>VLOOKUP(C122,Erection!$C$5:$D$307,2,0)</f>
        <v>DA+3</v>
      </c>
      <c r="E122" s="1289">
        <v>46173</v>
      </c>
      <c r="F122" s="1284" t="s">
        <v>1766</v>
      </c>
      <c r="G122" s="1284" t="s">
        <v>1769</v>
      </c>
      <c r="H122" s="1284" t="s">
        <v>1150</v>
      </c>
      <c r="I122" s="1300"/>
    </row>
    <row r="123" spans="1:9">
      <c r="A123" s="1001">
        <f t="shared" si="1"/>
        <v>119</v>
      </c>
      <c r="B123" s="1284">
        <v>119</v>
      </c>
      <c r="C123" s="1288" t="s">
        <v>473</v>
      </c>
      <c r="D123" s="65" t="str">
        <f>VLOOKUP(C123,Erection!$C$5:$D$307,2,0)</f>
        <v>DA+1.5</v>
      </c>
      <c r="E123" s="1289">
        <v>46173</v>
      </c>
      <c r="F123" s="1284" t="s">
        <v>1766</v>
      </c>
      <c r="G123" s="1284" t="s">
        <v>1769</v>
      </c>
      <c r="H123" s="1284" t="s">
        <v>1150</v>
      </c>
      <c r="I123" s="1300"/>
    </row>
    <row r="124" spans="1:9">
      <c r="A124" s="1001">
        <f t="shared" si="1"/>
        <v>120</v>
      </c>
      <c r="B124" s="1284">
        <v>120</v>
      </c>
      <c r="C124" s="1288" t="s">
        <v>472</v>
      </c>
      <c r="D124" s="65" t="str">
        <f>VLOOKUP(C124,Erection!$C$5:$D$307,2,0)</f>
        <v>DA-3</v>
      </c>
      <c r="E124" s="1289">
        <v>46173</v>
      </c>
      <c r="F124" s="1284" t="s">
        <v>1766</v>
      </c>
      <c r="G124" s="1284" t="s">
        <v>1769</v>
      </c>
      <c r="H124" s="1284" t="s">
        <v>1150</v>
      </c>
      <c r="I124" s="1300"/>
    </row>
    <row r="125" spans="1:9">
      <c r="A125" s="1001">
        <f t="shared" si="1"/>
        <v>121</v>
      </c>
      <c r="B125" s="1284">
        <v>1</v>
      </c>
      <c r="C125" s="1288" t="s">
        <v>259</v>
      </c>
      <c r="D125" s="65" t="str">
        <f>VLOOKUP(C125,Erection!$C$5:$D$307,2,0)</f>
        <v>DA+9</v>
      </c>
      <c r="E125" s="1289">
        <v>46174</v>
      </c>
      <c r="F125" s="1284" t="s">
        <v>1766</v>
      </c>
      <c r="G125" s="1284" t="s">
        <v>1769</v>
      </c>
      <c r="H125" s="1284" t="s">
        <v>1150</v>
      </c>
      <c r="I125" s="1300"/>
    </row>
    <row r="126" spans="1:9">
      <c r="A126" s="1001">
        <f t="shared" si="1"/>
        <v>122</v>
      </c>
      <c r="B126" s="1284">
        <v>2</v>
      </c>
      <c r="C126" s="1288" t="s">
        <v>260</v>
      </c>
      <c r="D126" s="65" t="str">
        <f>VLOOKUP(C126,Erection!$C$5:$D$307,2,0)</f>
        <v>DA+6</v>
      </c>
      <c r="E126" s="1289">
        <v>46174</v>
      </c>
      <c r="F126" s="1284" t="s">
        <v>1766</v>
      </c>
      <c r="G126" s="1284" t="s">
        <v>1769</v>
      </c>
      <c r="H126" s="1284" t="s">
        <v>1150</v>
      </c>
      <c r="I126" s="1300"/>
    </row>
    <row r="127" spans="1:9">
      <c r="A127" s="1001">
        <f t="shared" si="1"/>
        <v>123</v>
      </c>
      <c r="B127" s="1284">
        <v>3</v>
      </c>
      <c r="C127" s="1288" t="s">
        <v>469</v>
      </c>
      <c r="D127" s="65" t="str">
        <f>VLOOKUP(C127,Erection!$C$5:$D$307,2,0)</f>
        <v>DA+3</v>
      </c>
      <c r="E127" s="1289">
        <v>46174</v>
      </c>
      <c r="F127" s="1284" t="s">
        <v>1766</v>
      </c>
      <c r="G127" s="1284" t="s">
        <v>1769</v>
      </c>
      <c r="H127" s="1284" t="s">
        <v>1150</v>
      </c>
      <c r="I127" s="1300"/>
    </row>
    <row r="128" spans="1:9">
      <c r="A128" s="1001">
        <f t="shared" si="1"/>
        <v>124</v>
      </c>
      <c r="B128" s="1284">
        <v>4</v>
      </c>
      <c r="C128" s="1288" t="s">
        <v>470</v>
      </c>
      <c r="D128" s="65" t="str">
        <f>VLOOKUP(C128,Erection!$C$5:$D$307,2,0)</f>
        <v>DA+9</v>
      </c>
      <c r="E128" s="1289">
        <v>46174</v>
      </c>
      <c r="F128" s="1284" t="s">
        <v>1766</v>
      </c>
      <c r="G128" s="1284" t="s">
        <v>1769</v>
      </c>
      <c r="H128" s="1284" t="s">
        <v>1150</v>
      </c>
      <c r="I128" s="1300"/>
    </row>
    <row r="129" spans="1:9">
      <c r="A129" s="1001">
        <f t="shared" si="1"/>
        <v>125</v>
      </c>
      <c r="B129" s="1284">
        <v>5</v>
      </c>
      <c r="C129" s="1288" t="s">
        <v>471</v>
      </c>
      <c r="D129" s="65" t="str">
        <f>VLOOKUP(C129,Erection!$C$5:$D$307,2,0)</f>
        <v>DA+9</v>
      </c>
      <c r="E129" s="1289">
        <v>46174</v>
      </c>
      <c r="F129" s="1284" t="s">
        <v>1766</v>
      </c>
      <c r="G129" s="1284" t="s">
        <v>1769</v>
      </c>
      <c r="H129" s="1284" t="s">
        <v>1150</v>
      </c>
      <c r="I129" s="1300"/>
    </row>
    <row r="130" spans="1:9">
      <c r="A130" s="1001">
        <f t="shared" si="1"/>
        <v>126</v>
      </c>
      <c r="B130" s="1284">
        <v>6</v>
      </c>
      <c r="C130" s="1313" t="s">
        <v>465</v>
      </c>
      <c r="D130" s="65" t="str">
        <f>VLOOKUP(C130,Erection!$C$5:$D$307,2,0)</f>
        <v>DA+9</v>
      </c>
      <c r="E130" s="1289">
        <v>46175</v>
      </c>
      <c r="F130" s="1284" t="s">
        <v>1766</v>
      </c>
      <c r="G130" s="1284" t="s">
        <v>1769</v>
      </c>
      <c r="H130" s="1284" t="s">
        <v>1150</v>
      </c>
      <c r="I130" s="1300"/>
    </row>
    <row r="131" spans="1:9">
      <c r="A131" s="1001">
        <f t="shared" si="1"/>
        <v>127</v>
      </c>
      <c r="B131" s="1284">
        <v>7</v>
      </c>
      <c r="C131" s="1313" t="s">
        <v>466</v>
      </c>
      <c r="D131" s="65" t="str">
        <f>VLOOKUP(C131,Erection!$C$5:$D$307,2,0)</f>
        <v>DA+6</v>
      </c>
      <c r="E131" s="1289">
        <v>46175</v>
      </c>
      <c r="F131" s="1284" t="s">
        <v>1766</v>
      </c>
      <c r="G131" s="1284" t="s">
        <v>1769</v>
      </c>
      <c r="H131" s="1284" t="s">
        <v>1150</v>
      </c>
      <c r="I131" s="1300"/>
    </row>
    <row r="132" spans="1:9">
      <c r="A132" s="1001">
        <f t="shared" si="1"/>
        <v>128</v>
      </c>
      <c r="B132" s="1284">
        <v>8</v>
      </c>
      <c r="C132" s="1313" t="s">
        <v>467</v>
      </c>
      <c r="D132" s="65" t="str">
        <f>VLOOKUP(C132,Erection!$C$5:$D$307,2,0)</f>
        <v>DA+6</v>
      </c>
      <c r="E132" s="1289">
        <v>46175</v>
      </c>
      <c r="F132" s="1284" t="s">
        <v>1766</v>
      </c>
      <c r="G132" s="1284" t="s">
        <v>1769</v>
      </c>
      <c r="H132" s="1284" t="s">
        <v>1150</v>
      </c>
      <c r="I132" s="1300"/>
    </row>
    <row r="133" spans="1:9">
      <c r="A133" s="1001">
        <f t="shared" si="1"/>
        <v>129</v>
      </c>
      <c r="B133" s="1284">
        <v>9</v>
      </c>
      <c r="C133" s="1313" t="s">
        <v>468</v>
      </c>
      <c r="D133" s="65" t="str">
        <f>VLOOKUP(C133,Erection!$C$5:$D$307,2,0)</f>
        <v>DA+9</v>
      </c>
      <c r="E133" s="1289">
        <v>46175</v>
      </c>
      <c r="F133" s="1284" t="s">
        <v>1766</v>
      </c>
      <c r="G133" s="1284" t="s">
        <v>1769</v>
      </c>
      <c r="H133" s="1284" t="s">
        <v>1150</v>
      </c>
      <c r="I133" s="1300"/>
    </row>
    <row r="134" spans="1:9">
      <c r="A134" s="1001">
        <f t="shared" si="1"/>
        <v>130</v>
      </c>
      <c r="B134" s="1284">
        <v>10</v>
      </c>
      <c r="C134" s="1288" t="s">
        <v>464</v>
      </c>
      <c r="D134" s="65" t="str">
        <f>VLOOKUP(C134,Erection!$C$5:$D$307,2,0)</f>
        <v>DA+3</v>
      </c>
      <c r="E134" s="1289">
        <v>46176</v>
      </c>
      <c r="F134" s="1284" t="s">
        <v>1766</v>
      </c>
      <c r="G134" s="1284" t="s">
        <v>1769</v>
      </c>
      <c r="H134" s="1284" t="s">
        <v>1150</v>
      </c>
      <c r="I134" s="1300"/>
    </row>
    <row r="135" spans="1:9">
      <c r="A135" s="1001">
        <f t="shared" si="1"/>
        <v>131</v>
      </c>
      <c r="B135" s="1284">
        <v>11</v>
      </c>
      <c r="C135" s="1288" t="s">
        <v>463</v>
      </c>
      <c r="D135" s="65" t="str">
        <f>VLOOKUP(C135,Erection!$C$5:$D$307,2,0)</f>
        <v>DA+6</v>
      </c>
      <c r="E135" s="1289">
        <v>46176</v>
      </c>
      <c r="F135" s="1284" t="s">
        <v>1766</v>
      </c>
      <c r="G135" s="1284" t="s">
        <v>1769</v>
      </c>
      <c r="H135" s="1284" t="s">
        <v>1150</v>
      </c>
      <c r="I135" s="1300"/>
    </row>
    <row r="136" spans="1:9">
      <c r="A136" s="1001">
        <f t="shared" si="1"/>
        <v>132</v>
      </c>
      <c r="B136" s="1284">
        <v>12</v>
      </c>
      <c r="C136" s="1288" t="s">
        <v>462</v>
      </c>
      <c r="D136" s="65" t="str">
        <f>VLOOKUP(C136,Erection!$C$5:$D$307,2,0)</f>
        <v>DA-1.5</v>
      </c>
      <c r="E136" s="1289">
        <v>46176</v>
      </c>
      <c r="F136" s="1284" t="s">
        <v>1766</v>
      </c>
      <c r="G136" s="1284" t="s">
        <v>1769</v>
      </c>
      <c r="H136" s="1284" t="s">
        <v>1150</v>
      </c>
      <c r="I136" s="1300"/>
    </row>
    <row r="137" spans="1:9">
      <c r="A137" s="1001">
        <f t="shared" si="1"/>
        <v>133</v>
      </c>
      <c r="B137" s="1284">
        <v>13</v>
      </c>
      <c r="C137" s="1288" t="s">
        <v>461</v>
      </c>
      <c r="D137" s="65" t="str">
        <f>VLOOKUP(C137,Erection!$C$5:$D$307,2,0)</f>
        <v>DA+9</v>
      </c>
      <c r="E137" s="1289">
        <v>46176</v>
      </c>
      <c r="F137" s="1284" t="s">
        <v>1766</v>
      </c>
      <c r="G137" s="1284" t="s">
        <v>1769</v>
      </c>
      <c r="H137" s="1284" t="s">
        <v>1150</v>
      </c>
      <c r="I137" s="1300"/>
    </row>
    <row r="138" spans="1:9">
      <c r="A138" s="1299"/>
      <c r="B138" s="1284"/>
      <c r="C138" s="1288"/>
      <c r="D138" s="1040"/>
      <c r="E138" s="1289"/>
      <c r="F138" s="1284"/>
      <c r="G138" s="1284"/>
      <c r="H138" s="1284"/>
      <c r="I138" s="1300"/>
    </row>
    <row r="139" spans="1:9" ht="15" thickBot="1">
      <c r="A139" s="1297"/>
      <c r="B139" s="17"/>
      <c r="C139" s="1174"/>
      <c r="D139" s="1298"/>
      <c r="E139" s="1177"/>
      <c r="F139" s="17"/>
      <c r="G139" s="17"/>
      <c r="H139" s="17"/>
      <c r="I139" s="1178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39" priority="2093" stopIfTrue="1">
      <formula>AND(COUNTIF($C$28:$C$65607, C1)+COUNTIF($C$1:$C$12, C1)&gt;1,NOT(ISBLANK(C1)))</formula>
    </cfRule>
  </conditionalFormatting>
  <conditionalFormatting sqref="C1:C1048576">
    <cfRule type="duplicateValues" dxfId="138" priority="1"/>
    <cfRule type="duplicateValues" dxfId="137" priority="22"/>
  </conditionalFormatting>
  <conditionalFormatting sqref="C5">
    <cfRule type="duplicateValues" dxfId="136" priority="21"/>
  </conditionalFormatting>
  <conditionalFormatting sqref="C13:C28">
    <cfRule type="duplicateValues" dxfId="135" priority="14"/>
    <cfRule type="duplicateValues" dxfId="134" priority="15"/>
    <cfRule type="duplicateValues" dxfId="133" priority="16"/>
    <cfRule type="duplicateValues" dxfId="132" priority="17"/>
    <cfRule type="duplicateValues" dxfId="131" priority="18"/>
    <cfRule type="duplicateValues" dxfId="130" priority="19"/>
  </conditionalFormatting>
  <conditionalFormatting sqref="C29">
    <cfRule type="duplicateValues" dxfId="129" priority="2"/>
    <cfRule type="duplicateValues" dxfId="128" priority="3"/>
    <cfRule type="duplicateValues" dxfId="127" priority="4"/>
    <cfRule type="duplicateValues" dxfId="126" priority="5"/>
    <cfRule type="duplicateValues" dxfId="125" priority="6"/>
    <cfRule type="duplicateValues" dxfId="124" priority="7"/>
  </conditionalFormatting>
  <conditionalFormatting sqref="C30:C48">
    <cfRule type="duplicateValues" dxfId="123" priority="2106"/>
    <cfRule type="duplicateValues" dxfId="122" priority="2107"/>
    <cfRule type="duplicateValues" dxfId="121" priority="2108"/>
    <cfRule type="duplicateValues" dxfId="120" priority="2109"/>
    <cfRule type="duplicateValues" dxfId="119" priority="2110"/>
    <cfRule type="duplicateValues" dxfId="118" priority="2111"/>
  </conditionalFormatting>
  <conditionalFormatting sqref="C49:C65607">
    <cfRule type="duplicateValues" dxfId="117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topLeftCell="A83" zoomScale="98" zoomScaleNormal="100" zoomScaleSheetLayoutView="98" workbookViewId="0">
      <selection activeCell="C109" sqref="C10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29" t="s">
        <v>120</v>
      </c>
      <c r="B1" s="1430"/>
      <c r="C1" s="1430"/>
      <c r="D1" s="1430"/>
      <c r="E1" s="1430"/>
      <c r="F1" s="1430"/>
      <c r="G1" s="1430"/>
      <c r="H1" s="1430"/>
      <c r="I1" s="1431"/>
    </row>
    <row r="2" spans="1:9" ht="15.5">
      <c r="A2" s="1601" t="str">
        <f>TA413_PBNTL!A1</f>
        <v xml:space="preserve"> TA413 : 765 KV D/C Bikaner III - Neemrana II TL02</v>
      </c>
      <c r="B2" s="1602"/>
      <c r="C2" s="1602"/>
      <c r="D2" s="1602"/>
      <c r="E2" s="1602"/>
      <c r="F2" s="1602"/>
      <c r="G2" s="1602"/>
      <c r="H2" s="1602"/>
      <c r="I2" s="1623"/>
    </row>
    <row r="3" spans="1:9" ht="16" thickBot="1">
      <c r="A3" s="1624" t="s">
        <v>1776</v>
      </c>
      <c r="B3" s="1625"/>
      <c r="C3" s="1625"/>
      <c r="D3" s="1625"/>
      <c r="E3" s="1625"/>
      <c r="F3" s="1625"/>
      <c r="G3" s="1625"/>
      <c r="H3" s="1625"/>
      <c r="I3" s="66" t="str">
        <f>TA413_PBNTL!M1</f>
        <v>26.06.2026</v>
      </c>
    </row>
    <row r="4" spans="1:9" ht="29.5" thickBot="1">
      <c r="A4" s="50" t="s">
        <v>41</v>
      </c>
      <c r="B4" s="51" t="s">
        <v>42</v>
      </c>
      <c r="C4" s="52" t="s">
        <v>43</v>
      </c>
      <c r="D4" s="51" t="s">
        <v>44</v>
      </c>
      <c r="E4" s="51" t="s">
        <v>1764</v>
      </c>
      <c r="F4" s="53" t="s">
        <v>1775</v>
      </c>
      <c r="G4" s="54" t="s">
        <v>87</v>
      </c>
      <c r="H4" s="51" t="s">
        <v>48</v>
      </c>
      <c r="I4" s="55" t="s">
        <v>1</v>
      </c>
    </row>
    <row r="5" spans="1:9">
      <c r="A5" s="1149">
        <v>1</v>
      </c>
      <c r="B5" s="1278">
        <v>1</v>
      </c>
      <c r="C5" s="1305" t="s">
        <v>413</v>
      </c>
      <c r="D5" s="1279" t="str">
        <f>VLOOKUP(C5,Erection!$C$5:$D$307,2,0)</f>
        <v>DA+3</v>
      </c>
      <c r="E5" s="1280">
        <v>46170</v>
      </c>
      <c r="F5" s="1278" t="s">
        <v>1766</v>
      </c>
      <c r="G5" s="65" t="s">
        <v>1769</v>
      </c>
      <c r="H5" s="1278" t="s">
        <v>1150</v>
      </c>
      <c r="I5" s="1281"/>
    </row>
    <row r="6" spans="1:9">
      <c r="A6" s="14">
        <f>A5+1</f>
        <v>2</v>
      </c>
      <c r="B6" s="10">
        <v>2</v>
      </c>
      <c r="C6" s="669" t="s">
        <v>414</v>
      </c>
      <c r="D6" s="10" t="str">
        <f>VLOOKUP(C6,Erection!$C$5:$D$307,2,0)</f>
        <v>DA+3</v>
      </c>
      <c r="E6" s="1280">
        <v>46170</v>
      </c>
      <c r="F6" s="10" t="s">
        <v>1766</v>
      </c>
      <c r="G6" s="10" t="s">
        <v>1769</v>
      </c>
      <c r="H6" s="10" t="s">
        <v>1150</v>
      </c>
      <c r="I6" s="49"/>
    </row>
    <row r="7" spans="1:9">
      <c r="A7" s="14">
        <f t="shared" ref="A7:A79" si="0">A6+1</f>
        <v>3</v>
      </c>
      <c r="B7" s="10">
        <v>3</v>
      </c>
      <c r="C7" s="669" t="s">
        <v>370</v>
      </c>
      <c r="D7" s="10" t="str">
        <f>VLOOKUP(C7,Erection!$C$5:$D$307,2,0)</f>
        <v>DA+6</v>
      </c>
      <c r="E7" s="114">
        <v>46171</v>
      </c>
      <c r="F7" s="10" t="s">
        <v>1766</v>
      </c>
      <c r="G7" s="10" t="s">
        <v>1769</v>
      </c>
      <c r="H7" s="10" t="s">
        <v>1150</v>
      </c>
      <c r="I7" s="49"/>
    </row>
    <row r="8" spans="1:9">
      <c r="A8" s="14">
        <f t="shared" si="0"/>
        <v>4</v>
      </c>
      <c r="B8" s="10">
        <v>4</v>
      </c>
      <c r="C8" s="669" t="s">
        <v>406</v>
      </c>
      <c r="D8" s="10" t="str">
        <f>VLOOKUP(C8,Erection!$C$5:$D$307,2,0)</f>
        <v>DA+3</v>
      </c>
      <c r="E8" s="114">
        <v>46171</v>
      </c>
      <c r="F8" s="10" t="s">
        <v>1766</v>
      </c>
      <c r="G8" s="10" t="s">
        <v>1769</v>
      </c>
      <c r="H8" s="10" t="s">
        <v>1150</v>
      </c>
      <c r="I8" s="49"/>
    </row>
    <row r="9" spans="1:9">
      <c r="A9" s="14">
        <f t="shared" si="0"/>
        <v>5</v>
      </c>
      <c r="B9" s="10">
        <v>5</v>
      </c>
      <c r="C9" s="669" t="s">
        <v>412</v>
      </c>
      <c r="D9" s="10" t="str">
        <f>VLOOKUP(C9,Erection!$C$5:$D$307,2,0)</f>
        <v>DA+3</v>
      </c>
      <c r="E9" s="114">
        <v>46173</v>
      </c>
      <c r="F9" s="10" t="s">
        <v>1766</v>
      </c>
      <c r="G9" s="10" t="s">
        <v>1769</v>
      </c>
      <c r="H9" s="10" t="s">
        <v>1150</v>
      </c>
      <c r="I9" s="49"/>
    </row>
    <row r="10" spans="1:9">
      <c r="A10" s="14">
        <f t="shared" si="0"/>
        <v>6</v>
      </c>
      <c r="B10" s="10">
        <v>6</v>
      </c>
      <c r="C10" s="669" t="s">
        <v>411</v>
      </c>
      <c r="D10" s="10" t="str">
        <f>VLOOKUP(C10,Erection!$C$5:$D$307,2,0)</f>
        <v>DA+3</v>
      </c>
      <c r="E10" s="114">
        <v>46173</v>
      </c>
      <c r="F10" s="10" t="s">
        <v>1766</v>
      </c>
      <c r="G10" s="10" t="s">
        <v>1769</v>
      </c>
      <c r="H10" s="10" t="s">
        <v>1150</v>
      </c>
      <c r="I10" s="49"/>
    </row>
    <row r="11" spans="1:9">
      <c r="A11" s="14">
        <f t="shared" si="0"/>
        <v>7</v>
      </c>
      <c r="B11" s="10">
        <v>7</v>
      </c>
      <c r="C11" s="669" t="s">
        <v>410</v>
      </c>
      <c r="D11" s="10" t="str">
        <f>VLOOKUP(C11,Erection!$C$5:$D$307,2,0)</f>
        <v>DA+0</v>
      </c>
      <c r="E11" s="114">
        <v>46173</v>
      </c>
      <c r="F11" s="10" t="s">
        <v>1766</v>
      </c>
      <c r="G11" s="10" t="s">
        <v>1769</v>
      </c>
      <c r="H11" s="10" t="s">
        <v>1150</v>
      </c>
      <c r="I11" s="49"/>
    </row>
    <row r="12" spans="1:9">
      <c r="A12" s="14">
        <f t="shared" si="0"/>
        <v>8</v>
      </c>
      <c r="B12" s="10">
        <v>8</v>
      </c>
      <c r="C12" s="75" t="s">
        <v>264</v>
      </c>
      <c r="D12" s="10" t="str">
        <f>VLOOKUP(C12,Erection!$C$5:$D$307,2,0)</f>
        <v>DB1+6</v>
      </c>
      <c r="E12" s="726">
        <v>46174</v>
      </c>
      <c r="F12" s="65" t="s">
        <v>1766</v>
      </c>
      <c r="G12" s="65" t="s">
        <v>1769</v>
      </c>
      <c r="H12" s="65" t="s">
        <v>1150</v>
      </c>
      <c r="I12" s="49"/>
    </row>
    <row r="13" spans="1:9">
      <c r="A13" s="14">
        <f t="shared" si="0"/>
        <v>9</v>
      </c>
      <c r="B13" s="10">
        <v>9</v>
      </c>
      <c r="C13" s="75" t="s">
        <v>408</v>
      </c>
      <c r="D13" s="10" t="str">
        <f>VLOOKUP(C13,Erection!$C$5:$D$307,2,0)</f>
        <v>DA+9</v>
      </c>
      <c r="E13" s="726">
        <v>46174</v>
      </c>
      <c r="F13" s="65" t="s">
        <v>1766</v>
      </c>
      <c r="G13" s="65" t="s">
        <v>1769</v>
      </c>
      <c r="H13" s="65" t="s">
        <v>1150</v>
      </c>
      <c r="I13" s="49"/>
    </row>
    <row r="14" spans="1:9">
      <c r="A14" s="14">
        <f t="shared" si="0"/>
        <v>10</v>
      </c>
      <c r="B14" s="10">
        <v>10</v>
      </c>
      <c r="C14" s="75" t="s">
        <v>404</v>
      </c>
      <c r="D14" s="10" t="str">
        <f>VLOOKUP(C14,Erection!$C$5:$D$307,2,0)</f>
        <v>DA+3</v>
      </c>
      <c r="E14" s="726">
        <v>46175</v>
      </c>
      <c r="F14" s="65" t="s">
        <v>1766</v>
      </c>
      <c r="G14" s="65" t="s">
        <v>1769</v>
      </c>
      <c r="H14" s="65" t="s">
        <v>1150</v>
      </c>
      <c r="I14" s="1285"/>
    </row>
    <row r="15" spans="1:9">
      <c r="A15" s="14">
        <f t="shared" si="0"/>
        <v>11</v>
      </c>
      <c r="B15" s="10">
        <v>11</v>
      </c>
      <c r="C15" s="75" t="s">
        <v>407</v>
      </c>
      <c r="D15" s="10" t="str">
        <f>VLOOKUP(C15,Erection!$C$5:$D$307,2,0)</f>
        <v>DA+0</v>
      </c>
      <c r="E15" s="726">
        <v>46175</v>
      </c>
      <c r="F15" s="65" t="s">
        <v>1766</v>
      </c>
      <c r="G15" s="65" t="s">
        <v>1769</v>
      </c>
      <c r="H15" s="65" t="s">
        <v>1150</v>
      </c>
      <c r="I15" s="1285"/>
    </row>
    <row r="16" spans="1:9">
      <c r="A16" s="14">
        <f t="shared" si="0"/>
        <v>12</v>
      </c>
      <c r="B16" s="10">
        <v>12</v>
      </c>
      <c r="C16" s="75" t="s">
        <v>371</v>
      </c>
      <c r="D16" s="10" t="str">
        <f>VLOOKUP(C16,Erection!$C$5:$D$307,2,0)</f>
        <v>DA+3</v>
      </c>
      <c r="E16" s="726">
        <v>46175</v>
      </c>
      <c r="F16" s="65" t="s">
        <v>1766</v>
      </c>
      <c r="G16" s="65" t="s">
        <v>1769</v>
      </c>
      <c r="H16" s="65" t="s">
        <v>1150</v>
      </c>
      <c r="I16" s="1285"/>
    </row>
    <row r="17" spans="1:9">
      <c r="A17" s="14">
        <f t="shared" si="0"/>
        <v>13</v>
      </c>
      <c r="B17" s="10">
        <v>13</v>
      </c>
      <c r="C17" s="75" t="s">
        <v>372</v>
      </c>
      <c r="D17" s="10" t="str">
        <f>VLOOKUP(C17,Erection!$C$5:$D$307,2,0)</f>
        <v>DA+3</v>
      </c>
      <c r="E17" s="726">
        <v>46175</v>
      </c>
      <c r="F17" s="65" t="s">
        <v>1766</v>
      </c>
      <c r="G17" s="65" t="s">
        <v>1769</v>
      </c>
      <c r="H17" s="65" t="s">
        <v>1150</v>
      </c>
      <c r="I17" s="1285"/>
    </row>
    <row r="18" spans="1:9">
      <c r="A18" s="14">
        <f t="shared" si="0"/>
        <v>14</v>
      </c>
      <c r="B18" s="10">
        <v>14</v>
      </c>
      <c r="C18" s="75" t="s">
        <v>409</v>
      </c>
      <c r="D18" s="10" t="str">
        <f>VLOOKUP(C18,Erection!$C$5:$D$307,2,0)</f>
        <v>DA+0</v>
      </c>
      <c r="E18" s="726">
        <v>46175</v>
      </c>
      <c r="F18" s="65" t="s">
        <v>1766</v>
      </c>
      <c r="G18" s="65" t="s">
        <v>1769</v>
      </c>
      <c r="H18" s="65" t="s">
        <v>1150</v>
      </c>
      <c r="I18" s="1285"/>
    </row>
    <row r="19" spans="1:9">
      <c r="A19" s="14">
        <f t="shared" si="0"/>
        <v>15</v>
      </c>
      <c r="B19" s="10">
        <v>15</v>
      </c>
      <c r="C19" s="75" t="s">
        <v>471</v>
      </c>
      <c r="D19" s="10" t="str">
        <f>VLOOKUP(C19,Erection!$C$5:$D$307,2,0)</f>
        <v>DA+9</v>
      </c>
      <c r="E19" s="726">
        <v>46176</v>
      </c>
      <c r="F19" s="65" t="s">
        <v>1766</v>
      </c>
      <c r="G19" s="65" t="s">
        <v>1769</v>
      </c>
      <c r="H19" s="65" t="s">
        <v>1150</v>
      </c>
      <c r="I19" s="1285"/>
    </row>
    <row r="20" spans="1:9">
      <c r="A20" s="14">
        <f t="shared" si="0"/>
        <v>16</v>
      </c>
      <c r="B20" s="10">
        <v>16</v>
      </c>
      <c r="C20" s="729" t="s">
        <v>472</v>
      </c>
      <c r="D20" s="10" t="str">
        <f>VLOOKUP(C20,Erection!$C$5:$D$307,2,0)</f>
        <v>DA-3</v>
      </c>
      <c r="E20" s="726">
        <v>46176</v>
      </c>
      <c r="F20" s="65" t="s">
        <v>1766</v>
      </c>
      <c r="G20" s="65" t="s">
        <v>1769</v>
      </c>
      <c r="H20" s="65" t="s">
        <v>1150</v>
      </c>
      <c r="I20" s="1285"/>
    </row>
    <row r="21" spans="1:9">
      <c r="A21" s="14">
        <f t="shared" si="0"/>
        <v>17</v>
      </c>
      <c r="B21" s="10">
        <v>17</v>
      </c>
      <c r="C21" s="75" t="s">
        <v>473</v>
      </c>
      <c r="D21" s="10" t="str">
        <f>VLOOKUP(C21,Erection!$C$5:$D$307,2,0)</f>
        <v>DA+1.5</v>
      </c>
      <c r="E21" s="726">
        <v>46176</v>
      </c>
      <c r="F21" s="65" t="s">
        <v>1766</v>
      </c>
      <c r="G21" s="65" t="s">
        <v>1769</v>
      </c>
      <c r="H21" s="65" t="s">
        <v>1150</v>
      </c>
      <c r="I21" s="1285"/>
    </row>
    <row r="22" spans="1:9">
      <c r="A22" s="14">
        <f t="shared" si="0"/>
        <v>18</v>
      </c>
      <c r="B22" s="10">
        <v>18</v>
      </c>
      <c r="C22" s="669" t="s">
        <v>470</v>
      </c>
      <c r="D22" s="10" t="str">
        <f>VLOOKUP(C22,Erection!$C$5:$D$307,2,0)</f>
        <v>DA+9</v>
      </c>
      <c r="E22" s="726">
        <v>46176</v>
      </c>
      <c r="F22" s="65" t="s">
        <v>1766</v>
      </c>
      <c r="G22" s="1284" t="s">
        <v>1797</v>
      </c>
      <c r="H22" s="65" t="s">
        <v>1150</v>
      </c>
      <c r="I22" s="1285"/>
    </row>
    <row r="23" spans="1:9">
      <c r="A23" s="14">
        <f t="shared" si="0"/>
        <v>19</v>
      </c>
      <c r="B23" s="10">
        <v>19</v>
      </c>
      <c r="C23" s="669" t="s">
        <v>469</v>
      </c>
      <c r="D23" s="10" t="str">
        <f>VLOOKUP(C23,Erection!$C$5:$D$307,2,0)</f>
        <v>DA+3</v>
      </c>
      <c r="E23" s="726">
        <v>46176</v>
      </c>
      <c r="F23" s="65" t="s">
        <v>1766</v>
      </c>
      <c r="G23" s="1284" t="s">
        <v>1797</v>
      </c>
      <c r="H23" s="65" t="s">
        <v>1150</v>
      </c>
      <c r="I23" s="1285"/>
    </row>
    <row r="24" spans="1:9">
      <c r="A24" s="14">
        <f t="shared" si="0"/>
        <v>20</v>
      </c>
      <c r="B24" s="10">
        <v>20</v>
      </c>
      <c r="C24" s="669" t="s">
        <v>484</v>
      </c>
      <c r="D24" s="10" t="str">
        <f>VLOOKUP(C24,Erection!$C$5:$D$307,2,0)</f>
        <v>DB1+12</v>
      </c>
      <c r="E24" s="1289">
        <v>46177</v>
      </c>
      <c r="F24" s="65" t="s">
        <v>1766</v>
      </c>
      <c r="G24" s="65" t="s">
        <v>1769</v>
      </c>
      <c r="H24" s="65" t="s">
        <v>1150</v>
      </c>
      <c r="I24" s="1285"/>
    </row>
    <row r="25" spans="1:9">
      <c r="A25" s="14">
        <f t="shared" si="0"/>
        <v>21</v>
      </c>
      <c r="B25" s="10">
        <v>21</v>
      </c>
      <c r="C25" s="669" t="s">
        <v>263</v>
      </c>
      <c r="D25" s="10" t="str">
        <f>VLOOKUP(C25,Erection!$C$5:$D$307,2,0)</f>
        <v>DB1+12</v>
      </c>
      <c r="E25" s="1289">
        <v>46177</v>
      </c>
      <c r="F25" s="65" t="s">
        <v>1766</v>
      </c>
      <c r="G25" s="65" t="s">
        <v>1769</v>
      </c>
      <c r="H25" s="65" t="s">
        <v>1150</v>
      </c>
      <c r="I25" s="1285"/>
    </row>
    <row r="26" spans="1:9">
      <c r="A26" s="14">
        <f t="shared" si="0"/>
        <v>22</v>
      </c>
      <c r="B26" s="10">
        <v>22</v>
      </c>
      <c r="C26" s="1288" t="s">
        <v>474</v>
      </c>
      <c r="D26" s="10" t="str">
        <f>VLOOKUP(C26,Erection!$C$5:$D$307,2,0)</f>
        <v>DA+3</v>
      </c>
      <c r="E26" s="1289">
        <v>46177</v>
      </c>
      <c r="F26" s="65" t="s">
        <v>1766</v>
      </c>
      <c r="G26" s="65" t="s">
        <v>1769</v>
      </c>
      <c r="H26" s="65" t="s">
        <v>1150</v>
      </c>
      <c r="I26" s="1285"/>
    </row>
    <row r="27" spans="1:9">
      <c r="A27" s="14">
        <f t="shared" si="0"/>
        <v>23</v>
      </c>
      <c r="B27" s="10">
        <v>23</v>
      </c>
      <c r="C27" s="10" t="s">
        <v>1253</v>
      </c>
      <c r="D27" s="10" t="str">
        <f>VLOOKUP(C27,Erection!$C$5:$D$307,2,0)</f>
        <v>DA+3</v>
      </c>
      <c r="E27" s="1289">
        <v>46177</v>
      </c>
      <c r="F27" s="65" t="s">
        <v>1766</v>
      </c>
      <c r="G27" s="1284" t="s">
        <v>1798</v>
      </c>
      <c r="H27" s="65" t="s">
        <v>1150</v>
      </c>
      <c r="I27" s="1285"/>
    </row>
    <row r="28" spans="1:9">
      <c r="A28" s="14">
        <f t="shared" si="0"/>
        <v>24</v>
      </c>
      <c r="B28" s="10">
        <v>24</v>
      </c>
      <c r="C28" s="1314" t="s">
        <v>260</v>
      </c>
      <c r="D28" s="10" t="str">
        <f>VLOOKUP(C28,Erection!$C$5:$D$307,2,0)</f>
        <v>DA+6</v>
      </c>
      <c r="E28" s="1289">
        <v>46177</v>
      </c>
      <c r="F28" s="65" t="s">
        <v>1766</v>
      </c>
      <c r="G28" s="1284" t="s">
        <v>1797</v>
      </c>
      <c r="H28" s="65" t="s">
        <v>1150</v>
      </c>
      <c r="I28" s="1285"/>
    </row>
    <row r="29" spans="1:9">
      <c r="A29" s="14">
        <f t="shared" si="0"/>
        <v>25</v>
      </c>
      <c r="B29" s="10">
        <v>25</v>
      </c>
      <c r="C29" s="669" t="s">
        <v>259</v>
      </c>
      <c r="D29" s="10" t="str">
        <f>VLOOKUP(C29,Erection!$C$5:$D$307,2,0)</f>
        <v>DA+9</v>
      </c>
      <c r="E29" s="1289">
        <v>46177</v>
      </c>
      <c r="F29" s="65" t="s">
        <v>1766</v>
      </c>
      <c r="G29" s="1284" t="s">
        <v>1797</v>
      </c>
      <c r="H29" s="65" t="s">
        <v>1150</v>
      </c>
      <c r="I29" s="1285"/>
    </row>
    <row r="30" spans="1:9">
      <c r="A30" s="14">
        <f t="shared" si="0"/>
        <v>26</v>
      </c>
      <c r="B30" s="10">
        <v>26</v>
      </c>
      <c r="C30" s="669" t="s">
        <v>475</v>
      </c>
      <c r="D30" s="10" t="str">
        <f>VLOOKUP(C30,Erection!$C$5:$D$307,2,0)</f>
        <v>DA+6</v>
      </c>
      <c r="E30" s="114">
        <v>46178</v>
      </c>
      <c r="F30" s="65" t="s">
        <v>1766</v>
      </c>
      <c r="G30" s="10" t="s">
        <v>1769</v>
      </c>
      <c r="H30" s="10" t="s">
        <v>1150</v>
      </c>
      <c r="I30" s="49"/>
    </row>
    <row r="31" spans="1:9">
      <c r="A31" s="14">
        <f t="shared" si="0"/>
        <v>27</v>
      </c>
      <c r="B31" s="10">
        <v>27</v>
      </c>
      <c r="C31" s="669" t="s">
        <v>401</v>
      </c>
      <c r="D31" s="10" t="str">
        <f>VLOOKUP(C31,Erection!$C$5:$D$307,2,0)</f>
        <v>DA+0</v>
      </c>
      <c r="E31" s="114">
        <v>46178</v>
      </c>
      <c r="F31" s="10" t="s">
        <v>1766</v>
      </c>
      <c r="G31" s="10" t="s">
        <v>1769</v>
      </c>
      <c r="H31" s="10" t="s">
        <v>1150</v>
      </c>
      <c r="I31" s="49"/>
    </row>
    <row r="32" spans="1:9">
      <c r="A32" s="14">
        <f t="shared" si="0"/>
        <v>28</v>
      </c>
      <c r="B32" s="10">
        <v>28</v>
      </c>
      <c r="C32" s="669" t="s">
        <v>402</v>
      </c>
      <c r="D32" s="10" t="str">
        <f>VLOOKUP(C32,Erection!$C$5:$D$307,2,0)</f>
        <v>DA+9</v>
      </c>
      <c r="E32" s="114">
        <v>46178</v>
      </c>
      <c r="F32" s="10" t="s">
        <v>1766</v>
      </c>
      <c r="G32" s="10" t="s">
        <v>1769</v>
      </c>
      <c r="H32" s="10" t="s">
        <v>1150</v>
      </c>
      <c r="I32" s="49"/>
    </row>
    <row r="33" spans="1:11">
      <c r="A33" s="14">
        <f t="shared" si="0"/>
        <v>29</v>
      </c>
      <c r="B33" s="10">
        <v>29</v>
      </c>
      <c r="C33" s="669" t="s">
        <v>399</v>
      </c>
      <c r="D33" s="10" t="str">
        <f>VLOOKUP(C33,Erection!$C$5:$D$307,2,0)</f>
        <v>DA+9</v>
      </c>
      <c r="E33" s="114">
        <v>46178</v>
      </c>
      <c r="F33" s="10" t="s">
        <v>1766</v>
      </c>
      <c r="G33" s="10" t="s">
        <v>1769</v>
      </c>
      <c r="H33" s="10" t="s">
        <v>1150</v>
      </c>
      <c r="I33" s="49"/>
    </row>
    <row r="34" spans="1:11">
      <c r="A34" s="14">
        <f t="shared" si="0"/>
        <v>30</v>
      </c>
      <c r="B34" s="10">
        <v>30</v>
      </c>
      <c r="C34" s="669" t="s">
        <v>258</v>
      </c>
      <c r="D34" s="10" t="str">
        <f>VLOOKUP(C34,Erection!$C$5:$D$307,2,0)</f>
        <v>DB1+9</v>
      </c>
      <c r="E34" s="114">
        <v>46178</v>
      </c>
      <c r="F34" s="10" t="s">
        <v>1766</v>
      </c>
      <c r="G34" s="10" t="s">
        <v>1797</v>
      </c>
      <c r="H34" s="10" t="s">
        <v>1150</v>
      </c>
      <c r="I34" s="49"/>
    </row>
    <row r="35" spans="1:11">
      <c r="A35" s="14">
        <f t="shared" si="0"/>
        <v>31</v>
      </c>
      <c r="B35" s="10">
        <v>31</v>
      </c>
      <c r="C35" s="669" t="s">
        <v>397</v>
      </c>
      <c r="D35" s="10" t="str">
        <f>VLOOKUP(C35,Erection!$C$5:$D$307,2,0)</f>
        <v>DA+3</v>
      </c>
      <c r="E35" s="114">
        <v>46179</v>
      </c>
      <c r="F35" s="10" t="s">
        <v>1766</v>
      </c>
      <c r="G35" s="10" t="s">
        <v>1769</v>
      </c>
      <c r="H35" s="10" t="s">
        <v>1150</v>
      </c>
      <c r="I35" s="49"/>
    </row>
    <row r="36" spans="1:11">
      <c r="A36" s="14">
        <f t="shared" si="0"/>
        <v>32</v>
      </c>
      <c r="B36" s="10">
        <v>32</v>
      </c>
      <c r="C36" s="669" t="s">
        <v>400</v>
      </c>
      <c r="D36" s="10" t="str">
        <f>VLOOKUP(C36,Erection!$C$5:$D$307,2,0)</f>
        <v>DA+3</v>
      </c>
      <c r="E36" s="114">
        <v>46179</v>
      </c>
      <c r="F36" s="10" t="s">
        <v>1766</v>
      </c>
      <c r="G36" s="10" t="s">
        <v>1769</v>
      </c>
      <c r="H36" s="10" t="s">
        <v>1150</v>
      </c>
      <c r="I36" s="49"/>
    </row>
    <row r="37" spans="1:11">
      <c r="A37" s="14">
        <f t="shared" si="0"/>
        <v>33</v>
      </c>
      <c r="B37" s="10">
        <v>33</v>
      </c>
      <c r="C37" s="669" t="s">
        <v>396</v>
      </c>
      <c r="D37" s="10" t="str">
        <f>VLOOKUP(C37,Erection!$C$5:$D$307,2,0)</f>
        <v>DA+9</v>
      </c>
      <c r="E37" s="114">
        <v>46179</v>
      </c>
      <c r="F37" s="10" t="s">
        <v>1766</v>
      </c>
      <c r="G37" s="10" t="s">
        <v>1769</v>
      </c>
      <c r="H37" s="10" t="s">
        <v>1150</v>
      </c>
      <c r="I37" s="49"/>
    </row>
    <row r="38" spans="1:11">
      <c r="A38" s="14">
        <f t="shared" si="0"/>
        <v>34</v>
      </c>
      <c r="B38" s="10">
        <v>34</v>
      </c>
      <c r="C38" s="669" t="s">
        <v>398</v>
      </c>
      <c r="D38" s="10" t="str">
        <f>VLOOKUP(C38,Erection!$C$5:$D$307,2,0)</f>
        <v>DA+3</v>
      </c>
      <c r="E38" s="114">
        <v>46179</v>
      </c>
      <c r="F38" s="10" t="s">
        <v>1766</v>
      </c>
      <c r="G38" s="10" t="s">
        <v>1769</v>
      </c>
      <c r="H38" s="10" t="s">
        <v>1150</v>
      </c>
      <c r="I38" s="49"/>
    </row>
    <row r="39" spans="1:11">
      <c r="A39" s="14">
        <f t="shared" si="0"/>
        <v>35</v>
      </c>
      <c r="B39" s="10">
        <v>35</v>
      </c>
      <c r="C39" s="669" t="s">
        <v>468</v>
      </c>
      <c r="D39" s="10" t="str">
        <f>VLOOKUP(C39,Erection!$C$5:$D$307,2,0)</f>
        <v>DA+9</v>
      </c>
      <c r="E39" s="114">
        <v>46179</v>
      </c>
      <c r="F39" s="10" t="s">
        <v>1766</v>
      </c>
      <c r="G39" s="10" t="s">
        <v>1797</v>
      </c>
      <c r="H39" s="10" t="s">
        <v>1150</v>
      </c>
      <c r="I39" s="49"/>
    </row>
    <row r="40" spans="1:11">
      <c r="A40" s="14">
        <f t="shared" si="0"/>
        <v>36</v>
      </c>
      <c r="B40" s="10">
        <v>36</v>
      </c>
      <c r="C40" s="669" t="s">
        <v>395</v>
      </c>
      <c r="D40" s="10" t="str">
        <f>VLOOKUP(C40,Erection!$C$5:$D$307,2,0)</f>
        <v>DA+6</v>
      </c>
      <c r="E40" s="114">
        <v>46180</v>
      </c>
      <c r="F40" s="10" t="s">
        <v>1766</v>
      </c>
      <c r="G40" s="10" t="s">
        <v>1769</v>
      </c>
      <c r="H40" s="10" t="s">
        <v>1150</v>
      </c>
      <c r="I40" s="49"/>
      <c r="J40" s="1361"/>
      <c r="K40" s="1112"/>
    </row>
    <row r="41" spans="1:11">
      <c r="A41" s="14">
        <f t="shared" si="0"/>
        <v>37</v>
      </c>
      <c r="B41" s="10">
        <v>37</v>
      </c>
      <c r="C41" s="669" t="s">
        <v>268</v>
      </c>
      <c r="D41" s="10" t="str">
        <f>VLOOKUP(C41,Erection!$C$5:$D$307,2,0)</f>
        <v>DD60+0</v>
      </c>
      <c r="E41" s="114">
        <v>46180</v>
      </c>
      <c r="F41" s="10" t="s">
        <v>1766</v>
      </c>
      <c r="G41" s="10" t="s">
        <v>1798</v>
      </c>
      <c r="H41" s="10" t="s">
        <v>1150</v>
      </c>
      <c r="I41" s="49"/>
    </row>
    <row r="42" spans="1:11">
      <c r="A42" s="14">
        <f t="shared" si="0"/>
        <v>38</v>
      </c>
      <c r="B42" s="10">
        <v>38</v>
      </c>
      <c r="C42" s="669" t="s">
        <v>467</v>
      </c>
      <c r="D42" s="10" t="str">
        <f>VLOOKUP(C42,Erection!$C$5:$D$307,2,0)</f>
        <v>DA+6</v>
      </c>
      <c r="E42" s="114">
        <v>46180</v>
      </c>
      <c r="F42" s="10" t="s">
        <v>1766</v>
      </c>
      <c r="G42" s="10" t="s">
        <v>1797</v>
      </c>
      <c r="H42" s="10" t="s">
        <v>1150</v>
      </c>
      <c r="I42" s="49"/>
    </row>
    <row r="43" spans="1:11">
      <c r="A43" s="14">
        <f t="shared" si="0"/>
        <v>39</v>
      </c>
      <c r="B43" s="10">
        <v>39</v>
      </c>
      <c r="C43" s="669" t="s">
        <v>466</v>
      </c>
      <c r="D43" s="10" t="str">
        <f>VLOOKUP(C43,Erection!$C$5:$D$307,2,0)</f>
        <v>DA+6</v>
      </c>
      <c r="E43" s="114">
        <v>46180</v>
      </c>
      <c r="F43" s="10" t="s">
        <v>1766</v>
      </c>
      <c r="G43" s="10" t="s">
        <v>1797</v>
      </c>
      <c r="H43" s="10" t="s">
        <v>1150</v>
      </c>
      <c r="I43" s="49"/>
    </row>
    <row r="44" spans="1:11">
      <c r="A44" s="14">
        <f t="shared" si="0"/>
        <v>40</v>
      </c>
      <c r="B44" s="10">
        <v>40</v>
      </c>
      <c r="C44" s="669" t="s">
        <v>464</v>
      </c>
      <c r="D44" s="10" t="str">
        <f>VLOOKUP(C44,Erection!$C$5:$D$307,2,0)</f>
        <v>DA+3</v>
      </c>
      <c r="E44" s="114">
        <v>46180</v>
      </c>
      <c r="F44" s="10" t="s">
        <v>1766</v>
      </c>
      <c r="G44" s="10" t="s">
        <v>1797</v>
      </c>
      <c r="H44" s="10" t="s">
        <v>1150</v>
      </c>
      <c r="I44" s="1017"/>
    </row>
    <row r="45" spans="1:11">
      <c r="A45" s="14">
        <f t="shared" si="0"/>
        <v>41</v>
      </c>
      <c r="B45" s="10">
        <v>41</v>
      </c>
      <c r="C45" s="669" t="s">
        <v>674</v>
      </c>
      <c r="D45" s="10" t="str">
        <f>VLOOKUP(C45,Erection!$C$5:$D$307,2,0)</f>
        <v>DB1+12</v>
      </c>
      <c r="E45" s="114">
        <v>46180</v>
      </c>
      <c r="F45" s="10" t="s">
        <v>1766</v>
      </c>
      <c r="G45" s="10" t="s">
        <v>1797</v>
      </c>
      <c r="H45" s="10" t="s">
        <v>1150</v>
      </c>
      <c r="I45" s="1017"/>
    </row>
    <row r="46" spans="1:11">
      <c r="A46" s="14">
        <f t="shared" si="0"/>
        <v>42</v>
      </c>
      <c r="B46" s="10">
        <v>42</v>
      </c>
      <c r="C46" s="669" t="s">
        <v>463</v>
      </c>
      <c r="D46" s="10" t="str">
        <f>VLOOKUP(C46,Erection!$C$5:$D$307,2,0)</f>
        <v>DA+6</v>
      </c>
      <c r="E46" s="114">
        <v>46181</v>
      </c>
      <c r="F46" s="10" t="s">
        <v>1766</v>
      </c>
      <c r="G46" s="10" t="s">
        <v>1797</v>
      </c>
      <c r="H46" s="10" t="s">
        <v>1150</v>
      </c>
      <c r="I46" s="1017"/>
    </row>
    <row r="47" spans="1:11">
      <c r="A47" s="14">
        <f t="shared" si="0"/>
        <v>43</v>
      </c>
      <c r="B47" s="10">
        <v>43</v>
      </c>
      <c r="C47" s="669" t="s">
        <v>465</v>
      </c>
      <c r="D47" s="10" t="str">
        <f>VLOOKUP(C47,Erection!$C$5:$D$307,2,0)</f>
        <v>DA+9</v>
      </c>
      <c r="E47" s="114">
        <v>46181</v>
      </c>
      <c r="F47" s="10" t="s">
        <v>1766</v>
      </c>
      <c r="G47" s="10" t="s">
        <v>1797</v>
      </c>
      <c r="H47" s="10" t="s">
        <v>1150</v>
      </c>
      <c r="I47" s="1017"/>
    </row>
    <row r="48" spans="1:11">
      <c r="A48" s="14">
        <f t="shared" si="0"/>
        <v>44</v>
      </c>
      <c r="B48" s="10">
        <v>44</v>
      </c>
      <c r="C48" s="669" t="s">
        <v>482</v>
      </c>
      <c r="D48" s="10" t="str">
        <f>VLOOKUP(C48,Erection!$C$5:$D$307,2,0)</f>
        <v>DA+6</v>
      </c>
      <c r="E48" s="114">
        <v>46181</v>
      </c>
      <c r="F48" s="10" t="s">
        <v>1766</v>
      </c>
      <c r="G48" s="10" t="s">
        <v>1769</v>
      </c>
      <c r="H48" s="10" t="s">
        <v>1150</v>
      </c>
      <c r="I48" s="1017"/>
    </row>
    <row r="49" spans="1:9">
      <c r="A49" s="14">
        <f t="shared" si="0"/>
        <v>45</v>
      </c>
      <c r="B49" s="10">
        <v>45</v>
      </c>
      <c r="C49" s="669" t="s">
        <v>483</v>
      </c>
      <c r="D49" s="10" t="str">
        <f>VLOOKUP(C49,Erection!$C$5:$D$307,2,0)</f>
        <v>DA-1.5</v>
      </c>
      <c r="E49" s="114">
        <v>46181</v>
      </c>
      <c r="F49" s="10" t="s">
        <v>1766</v>
      </c>
      <c r="G49" s="10" t="s">
        <v>1769</v>
      </c>
      <c r="H49" s="10" t="s">
        <v>1150</v>
      </c>
      <c r="I49" s="1017"/>
    </row>
    <row r="50" spans="1:9">
      <c r="A50" s="14">
        <f t="shared" si="0"/>
        <v>46</v>
      </c>
      <c r="B50" s="10">
        <v>46</v>
      </c>
      <c r="C50" s="669" t="s">
        <v>481</v>
      </c>
      <c r="D50" s="10" t="str">
        <f>VLOOKUP(C50,Erection!$C$5:$D$307,2,0)</f>
        <v>DA+6</v>
      </c>
      <c r="E50" s="114">
        <v>46181</v>
      </c>
      <c r="F50" s="10" t="s">
        <v>1766</v>
      </c>
      <c r="G50" s="10" t="s">
        <v>1769</v>
      </c>
      <c r="H50" s="10" t="s">
        <v>1150</v>
      </c>
      <c r="I50" s="1017"/>
    </row>
    <row r="51" spans="1:9">
      <c r="A51" s="14">
        <f t="shared" si="0"/>
        <v>47</v>
      </c>
      <c r="B51" s="10">
        <v>47</v>
      </c>
      <c r="C51" s="669" t="s">
        <v>476</v>
      </c>
      <c r="D51" s="10" t="str">
        <f>VLOOKUP(C51,Erection!$C$5:$D$307,2,0)</f>
        <v>DA+1.5</v>
      </c>
      <c r="E51" s="114">
        <v>46180</v>
      </c>
      <c r="F51" s="10" t="s">
        <v>1766</v>
      </c>
      <c r="G51" s="10" t="s">
        <v>1769</v>
      </c>
      <c r="H51" s="10" t="s">
        <v>1150</v>
      </c>
      <c r="I51" s="1017"/>
    </row>
    <row r="52" spans="1:9">
      <c r="A52" s="14">
        <f t="shared" si="0"/>
        <v>48</v>
      </c>
      <c r="B52" s="10">
        <v>48</v>
      </c>
      <c r="C52" s="669" t="s">
        <v>477</v>
      </c>
      <c r="D52" s="10" t="str">
        <f>VLOOKUP(C52,Erection!$C$5:$D$307,2,0)</f>
        <v>DA-1.5</v>
      </c>
      <c r="E52" s="114">
        <v>46181</v>
      </c>
      <c r="F52" s="10" t="s">
        <v>1766</v>
      </c>
      <c r="G52" s="10" t="s">
        <v>1769</v>
      </c>
      <c r="H52" s="10" t="s">
        <v>1150</v>
      </c>
      <c r="I52" s="1017"/>
    </row>
    <row r="53" spans="1:9">
      <c r="A53" s="14">
        <f t="shared" si="0"/>
        <v>49</v>
      </c>
      <c r="B53" s="10">
        <v>49</v>
      </c>
      <c r="C53" s="669" t="s">
        <v>492</v>
      </c>
      <c r="D53" s="10" t="str">
        <f>VLOOKUP(C53,Erection!$C$5:$D$307,2,0)</f>
        <v>DA+1.5</v>
      </c>
      <c r="E53" s="114">
        <v>46181</v>
      </c>
      <c r="F53" s="10" t="s">
        <v>1766</v>
      </c>
      <c r="G53" s="10" t="s">
        <v>1769</v>
      </c>
      <c r="H53" s="10" t="s">
        <v>1150</v>
      </c>
      <c r="I53" s="1017"/>
    </row>
    <row r="54" spans="1:9">
      <c r="A54" s="14">
        <f t="shared" si="0"/>
        <v>50</v>
      </c>
      <c r="B54" s="10">
        <v>50</v>
      </c>
      <c r="C54" s="669" t="s">
        <v>462</v>
      </c>
      <c r="D54" s="10" t="str">
        <f>VLOOKUP(C54,Erection!$C$5:$D$307,2,0)</f>
        <v>DA-1.5</v>
      </c>
      <c r="E54" s="114">
        <v>46182</v>
      </c>
      <c r="F54" s="10" t="s">
        <v>1766</v>
      </c>
      <c r="G54" s="10" t="s">
        <v>1797</v>
      </c>
      <c r="H54" s="10" t="s">
        <v>1150</v>
      </c>
      <c r="I54" s="1017"/>
    </row>
    <row r="55" spans="1:9">
      <c r="A55" s="14">
        <f t="shared" si="0"/>
        <v>51</v>
      </c>
      <c r="B55" s="10">
        <v>51</v>
      </c>
      <c r="C55" s="669" t="s">
        <v>461</v>
      </c>
      <c r="D55" s="10" t="str">
        <f>VLOOKUP(C55,Erection!$C$5:$D$307,2,0)</f>
        <v>DA+9</v>
      </c>
      <c r="E55" s="114">
        <v>46182</v>
      </c>
      <c r="F55" s="10" t="s">
        <v>1766</v>
      </c>
      <c r="G55" s="10" t="s">
        <v>1797</v>
      </c>
      <c r="H55" s="10" t="s">
        <v>1150</v>
      </c>
      <c r="I55" s="1017"/>
    </row>
    <row r="56" spans="1:9">
      <c r="A56" s="14">
        <f t="shared" si="0"/>
        <v>52</v>
      </c>
      <c r="B56" s="10">
        <v>52</v>
      </c>
      <c r="C56" s="669" t="s">
        <v>460</v>
      </c>
      <c r="D56" s="10" t="str">
        <f>VLOOKUP(C56,Erection!$C$5:$D$307,2,0)</f>
        <v>DA+9</v>
      </c>
      <c r="E56" s="114">
        <v>46182</v>
      </c>
      <c r="F56" s="10" t="s">
        <v>1766</v>
      </c>
      <c r="G56" s="10" t="s">
        <v>1797</v>
      </c>
      <c r="H56" s="10" t="s">
        <v>1150</v>
      </c>
      <c r="I56" s="1017"/>
    </row>
    <row r="57" spans="1:9">
      <c r="A57" s="14">
        <f t="shared" si="0"/>
        <v>53</v>
      </c>
      <c r="B57" s="10">
        <v>53</v>
      </c>
      <c r="C57" s="669" t="s">
        <v>265</v>
      </c>
      <c r="D57" s="10" t="str">
        <f>VLOOKUP(C57,Erection!$C$5:$D$307,2,0)</f>
        <v>DD45+0</v>
      </c>
      <c r="E57" s="114">
        <v>46182</v>
      </c>
      <c r="F57" s="10" t="s">
        <v>1766</v>
      </c>
      <c r="G57" s="10" t="s">
        <v>1769</v>
      </c>
      <c r="H57" s="10" t="s">
        <v>1150</v>
      </c>
      <c r="I57" s="1017"/>
    </row>
    <row r="58" spans="1:9">
      <c r="A58" s="14">
        <f t="shared" si="0"/>
        <v>54</v>
      </c>
      <c r="B58" s="10">
        <v>54</v>
      </c>
      <c r="C58" s="669" t="s">
        <v>266</v>
      </c>
      <c r="D58" s="10" t="str">
        <f>VLOOKUP(C58,Erection!$C$5:$D$307,2,0)</f>
        <v>DB1+9</v>
      </c>
      <c r="E58" s="114">
        <v>46182</v>
      </c>
      <c r="F58" s="10" t="s">
        <v>1766</v>
      </c>
      <c r="G58" s="10" t="s">
        <v>1769</v>
      </c>
      <c r="H58" s="10" t="s">
        <v>1150</v>
      </c>
      <c r="I58" s="1017"/>
    </row>
    <row r="59" spans="1:9">
      <c r="A59" s="14">
        <f t="shared" si="0"/>
        <v>55</v>
      </c>
      <c r="B59" s="10">
        <v>55</v>
      </c>
      <c r="C59" s="669" t="s">
        <v>392</v>
      </c>
      <c r="D59" s="10" t="str">
        <f>VLOOKUP(C59,Erection!$C$5:$D$307,2,0)</f>
        <v>DA-3</v>
      </c>
      <c r="E59" s="114">
        <v>46183</v>
      </c>
      <c r="F59" s="10" t="s">
        <v>1766</v>
      </c>
      <c r="G59" s="10" t="s">
        <v>1769</v>
      </c>
      <c r="H59" s="10" t="s">
        <v>1150</v>
      </c>
      <c r="I59" s="1017"/>
    </row>
    <row r="60" spans="1:9">
      <c r="A60" s="14">
        <f t="shared" si="0"/>
        <v>56</v>
      </c>
      <c r="B60" s="10">
        <v>56</v>
      </c>
      <c r="C60" s="669" t="s">
        <v>393</v>
      </c>
      <c r="D60" s="10" t="str">
        <f>VLOOKUP(C60,Erection!$C$5:$D$307,2,0)</f>
        <v>DA+6</v>
      </c>
      <c r="E60" s="114">
        <v>46183</v>
      </c>
      <c r="F60" s="10" t="s">
        <v>1766</v>
      </c>
      <c r="G60" s="10" t="s">
        <v>1769</v>
      </c>
      <c r="H60" s="10" t="s">
        <v>1150</v>
      </c>
      <c r="I60" s="1017"/>
    </row>
    <row r="61" spans="1:9">
      <c r="A61" s="14">
        <f t="shared" si="0"/>
        <v>57</v>
      </c>
      <c r="B61" s="10">
        <v>57</v>
      </c>
      <c r="C61" s="669" t="s">
        <v>394</v>
      </c>
      <c r="D61" s="10" t="str">
        <f>VLOOKUP(C61,Erection!$C$5:$D$307,2,0)</f>
        <v>DA+9</v>
      </c>
      <c r="E61" s="114">
        <v>46183</v>
      </c>
      <c r="F61" s="10" t="s">
        <v>1766</v>
      </c>
      <c r="G61" s="10" t="s">
        <v>1769</v>
      </c>
      <c r="H61" s="10" t="s">
        <v>1150</v>
      </c>
      <c r="I61" s="1017"/>
    </row>
    <row r="62" spans="1:9">
      <c r="A62" s="14">
        <f t="shared" si="0"/>
        <v>58</v>
      </c>
      <c r="B62" s="10">
        <v>58</v>
      </c>
      <c r="C62" s="669" t="s">
        <v>459</v>
      </c>
      <c r="D62" s="10" t="str">
        <f>VLOOKUP(C62,Erection!$C$5:$D$307,2,0)</f>
        <v>DA+6</v>
      </c>
      <c r="E62" s="114">
        <v>46183</v>
      </c>
      <c r="F62" s="10" t="s">
        <v>1766</v>
      </c>
      <c r="G62" s="10" t="s">
        <v>1797</v>
      </c>
      <c r="H62" s="10" t="s">
        <v>1150</v>
      </c>
      <c r="I62" s="1017"/>
    </row>
    <row r="63" spans="1:9">
      <c r="A63" s="14">
        <f t="shared" si="0"/>
        <v>59</v>
      </c>
      <c r="B63" s="10">
        <v>59</v>
      </c>
      <c r="C63" s="669" t="s">
        <v>257</v>
      </c>
      <c r="D63" s="10" t="str">
        <f>VLOOKUP(C63,Erection!$C$5:$D$307,2,0)</f>
        <v>DB1+6</v>
      </c>
      <c r="E63" s="114">
        <v>46184</v>
      </c>
      <c r="F63" s="10" t="s">
        <v>1766</v>
      </c>
      <c r="G63" s="10" t="s">
        <v>1797</v>
      </c>
      <c r="H63" s="10" t="s">
        <v>1150</v>
      </c>
      <c r="I63" s="1017"/>
    </row>
    <row r="64" spans="1:9">
      <c r="A64" s="14">
        <f t="shared" si="0"/>
        <v>60</v>
      </c>
      <c r="B64" s="10">
        <v>60</v>
      </c>
      <c r="C64" s="669" t="s">
        <v>898</v>
      </c>
      <c r="D64" s="10" t="str">
        <f>VLOOKUP(C64,Erection!$C$5:$D$307,2,0)</f>
        <v>DA+9</v>
      </c>
      <c r="E64" s="114">
        <v>46184</v>
      </c>
      <c r="F64" s="10" t="s">
        <v>1766</v>
      </c>
      <c r="G64" s="10" t="s">
        <v>1797</v>
      </c>
      <c r="H64" s="10" t="s">
        <v>1150</v>
      </c>
      <c r="I64" s="1017"/>
    </row>
    <row r="65" spans="1:9">
      <c r="A65" s="14">
        <f t="shared" si="0"/>
        <v>61</v>
      </c>
      <c r="B65" s="10">
        <v>61</v>
      </c>
      <c r="C65" s="669" t="s">
        <v>897</v>
      </c>
      <c r="D65" s="10" t="str">
        <f>VLOOKUP(C65,Erection!$C$5:$D$307,2,0)</f>
        <v>DA+9</v>
      </c>
      <c r="E65" s="114">
        <v>46185</v>
      </c>
      <c r="F65" s="10" t="s">
        <v>1766</v>
      </c>
      <c r="G65" s="10" t="s">
        <v>1797</v>
      </c>
      <c r="H65" s="10" t="s">
        <v>1150</v>
      </c>
      <c r="I65" s="1017"/>
    </row>
    <row r="66" spans="1:9">
      <c r="A66" s="14">
        <f t="shared" si="0"/>
        <v>62</v>
      </c>
      <c r="B66" s="10">
        <v>62</v>
      </c>
      <c r="C66" s="669" t="s">
        <v>896</v>
      </c>
      <c r="D66" s="10" t="str">
        <f>VLOOKUP(C66,Erection!$C$5:$D$307,2,0)</f>
        <v>DA+6</v>
      </c>
      <c r="E66" s="114">
        <v>46185</v>
      </c>
      <c r="F66" s="10" t="s">
        <v>1766</v>
      </c>
      <c r="G66" s="10" t="s">
        <v>1797</v>
      </c>
      <c r="H66" s="10" t="s">
        <v>1150</v>
      </c>
      <c r="I66" s="1017"/>
    </row>
    <row r="67" spans="1:9">
      <c r="A67" s="14">
        <f t="shared" si="0"/>
        <v>63</v>
      </c>
      <c r="B67" s="10">
        <v>63</v>
      </c>
      <c r="C67" s="669" t="s">
        <v>262</v>
      </c>
      <c r="D67" s="10" t="str">
        <f>VLOOKUP(C67,Erection!$C$5:$D$307,2,0)</f>
        <v>DB1+0</v>
      </c>
      <c r="E67" s="114">
        <v>46185</v>
      </c>
      <c r="F67" s="10" t="s">
        <v>1766</v>
      </c>
      <c r="G67" s="10" t="s">
        <v>1769</v>
      </c>
      <c r="H67" s="10" t="s">
        <v>1150</v>
      </c>
      <c r="I67" s="1017"/>
    </row>
    <row r="68" spans="1:9">
      <c r="A68" s="14">
        <f t="shared" si="0"/>
        <v>64</v>
      </c>
      <c r="B68" s="10">
        <v>64</v>
      </c>
      <c r="C68" s="669" t="s">
        <v>497</v>
      </c>
      <c r="D68" s="10" t="str">
        <f>VLOOKUP(C68,Erection!$C$5:$D$307,2,0)</f>
        <v>DA+3</v>
      </c>
      <c r="E68" s="114">
        <v>46185</v>
      </c>
      <c r="F68" s="10" t="s">
        <v>1766</v>
      </c>
      <c r="G68" s="10" t="s">
        <v>1769</v>
      </c>
      <c r="H68" s="10" t="s">
        <v>1150</v>
      </c>
      <c r="I68" s="1017"/>
    </row>
    <row r="69" spans="1:9">
      <c r="A69" s="14">
        <f t="shared" si="0"/>
        <v>65</v>
      </c>
      <c r="B69" s="10">
        <v>65</v>
      </c>
      <c r="C69" s="669" t="s">
        <v>1268</v>
      </c>
      <c r="D69" s="10" t="str">
        <f>VLOOKUP(C69,Erection!$C$5:$D$307,2,0)</f>
        <v>DA+6</v>
      </c>
      <c r="E69" s="114">
        <v>46185</v>
      </c>
      <c r="F69" s="10" t="s">
        <v>1766</v>
      </c>
      <c r="G69" s="10" t="s">
        <v>1769</v>
      </c>
      <c r="H69" s="10" t="s">
        <v>1150</v>
      </c>
      <c r="I69" s="1017"/>
    </row>
    <row r="70" spans="1:9">
      <c r="A70" s="14">
        <f t="shared" si="0"/>
        <v>66</v>
      </c>
      <c r="B70" s="10">
        <v>66</v>
      </c>
      <c r="C70" s="669" t="s">
        <v>1267</v>
      </c>
      <c r="D70" s="10" t="str">
        <f>VLOOKUP(C70,Erection!$C$5:$D$307,2,0)</f>
        <v>DA+9</v>
      </c>
      <c r="E70" s="114">
        <v>46185</v>
      </c>
      <c r="F70" s="10" t="s">
        <v>1766</v>
      </c>
      <c r="G70" s="10" t="s">
        <v>1769</v>
      </c>
      <c r="H70" s="10" t="s">
        <v>1150</v>
      </c>
      <c r="I70" s="1017"/>
    </row>
    <row r="71" spans="1:9">
      <c r="A71" s="14">
        <f t="shared" si="0"/>
        <v>67</v>
      </c>
      <c r="B71" s="10">
        <v>67</v>
      </c>
      <c r="C71" s="669" t="s">
        <v>480</v>
      </c>
      <c r="D71" s="10" t="str">
        <f>VLOOKUP(C71,Erection!$C$5:$D$307,2,0)</f>
        <v>DA+9</v>
      </c>
      <c r="E71" s="114">
        <v>46187</v>
      </c>
      <c r="F71" s="10" t="s">
        <v>1766</v>
      </c>
      <c r="G71" s="10" t="s">
        <v>1769</v>
      </c>
      <c r="H71" s="10" t="s">
        <v>1836</v>
      </c>
      <c r="I71" s="1017"/>
    </row>
    <row r="72" spans="1:9">
      <c r="A72" s="14">
        <f t="shared" si="0"/>
        <v>68</v>
      </c>
      <c r="B72" s="10">
        <v>68</v>
      </c>
      <c r="C72" s="669" t="s">
        <v>479</v>
      </c>
      <c r="D72" s="10" t="str">
        <f>VLOOKUP(C72,Erection!$C$5:$D$307,2,0)</f>
        <v>DA+6</v>
      </c>
      <c r="E72" s="114">
        <v>46187</v>
      </c>
      <c r="F72" s="10" t="s">
        <v>1766</v>
      </c>
      <c r="G72" s="10" t="s">
        <v>1769</v>
      </c>
      <c r="H72" s="10" t="s">
        <v>1836</v>
      </c>
      <c r="I72" s="1017"/>
    </row>
    <row r="73" spans="1:9">
      <c r="A73" s="14">
        <f t="shared" si="0"/>
        <v>69</v>
      </c>
      <c r="B73" s="10">
        <v>69</v>
      </c>
      <c r="C73" s="669" t="s">
        <v>478</v>
      </c>
      <c r="D73" s="10" t="str">
        <f>VLOOKUP(C73,Erection!$C$5:$D$307,2,0)</f>
        <v>DA-3</v>
      </c>
      <c r="E73" s="114">
        <v>46187</v>
      </c>
      <c r="F73" s="10" t="s">
        <v>1766</v>
      </c>
      <c r="G73" s="10" t="s">
        <v>1769</v>
      </c>
      <c r="H73" s="10" t="s">
        <v>1836</v>
      </c>
      <c r="I73" s="1017"/>
    </row>
    <row r="74" spans="1:9">
      <c r="A74" s="14">
        <f t="shared" si="0"/>
        <v>70</v>
      </c>
      <c r="B74" s="10">
        <v>70</v>
      </c>
      <c r="C74" s="669" t="s">
        <v>894</v>
      </c>
      <c r="D74" s="10" t="str">
        <f>VLOOKUP(C74,Erection!$C$5:$D$307,2,0)</f>
        <v>DA+6</v>
      </c>
      <c r="E74" s="114">
        <v>46187</v>
      </c>
      <c r="F74" s="10" t="s">
        <v>1766</v>
      </c>
      <c r="G74" s="10" t="s">
        <v>1797</v>
      </c>
      <c r="H74" s="10" t="s">
        <v>1836</v>
      </c>
      <c r="I74" s="1017"/>
    </row>
    <row r="75" spans="1:9">
      <c r="A75" s="14">
        <f t="shared" si="0"/>
        <v>71</v>
      </c>
      <c r="B75" s="10">
        <v>71</v>
      </c>
      <c r="C75" s="669" t="s">
        <v>895</v>
      </c>
      <c r="D75" s="10" t="str">
        <f>VLOOKUP(C75,Erection!$C$5:$D$307,2,0)</f>
        <v>DA+9</v>
      </c>
      <c r="E75" s="114">
        <v>46187</v>
      </c>
      <c r="F75" s="10" t="s">
        <v>1766</v>
      </c>
      <c r="G75" s="10" t="s">
        <v>1797</v>
      </c>
      <c r="H75" s="10" t="s">
        <v>1836</v>
      </c>
      <c r="I75" s="1017"/>
    </row>
    <row r="76" spans="1:9">
      <c r="A76" s="14">
        <f t="shared" si="0"/>
        <v>72</v>
      </c>
      <c r="B76" s="10">
        <v>72</v>
      </c>
      <c r="C76" s="669" t="s">
        <v>11</v>
      </c>
      <c r="D76" s="10" t="str">
        <f>VLOOKUP(C76,Erection!$C$5:$D$307,2,0)</f>
        <v>DD60+18</v>
      </c>
      <c r="E76" s="114">
        <v>46188</v>
      </c>
      <c r="F76" s="10" t="s">
        <v>1766</v>
      </c>
      <c r="G76" s="10" t="s">
        <v>1769</v>
      </c>
      <c r="H76" s="10" t="s">
        <v>1836</v>
      </c>
      <c r="I76" s="1017"/>
    </row>
    <row r="77" spans="1:9">
      <c r="A77" s="14">
        <f t="shared" si="0"/>
        <v>73</v>
      </c>
      <c r="B77" s="10">
        <v>73</v>
      </c>
      <c r="C77" s="669" t="s">
        <v>167</v>
      </c>
      <c r="D77" s="10" t="str">
        <f>VLOOKUP(C77,Erection!$C$5:$D$307,2,0)</f>
        <v>DD60+25</v>
      </c>
      <c r="E77" s="114">
        <v>46188</v>
      </c>
      <c r="F77" s="10" t="s">
        <v>1766</v>
      </c>
      <c r="G77" s="10" t="s">
        <v>1769</v>
      </c>
      <c r="H77" s="10" t="s">
        <v>1836</v>
      </c>
      <c r="I77" s="1017"/>
    </row>
    <row r="78" spans="1:9">
      <c r="A78" s="14">
        <f t="shared" si="0"/>
        <v>74</v>
      </c>
      <c r="B78" s="10">
        <v>74</v>
      </c>
      <c r="C78" s="669" t="s">
        <v>892</v>
      </c>
      <c r="D78" s="10" t="str">
        <f>VLOOKUP(C78,Erection!$C$5:$D$307,2,0)</f>
        <v>DB1+3</v>
      </c>
      <c r="E78" s="114">
        <v>46188</v>
      </c>
      <c r="F78" s="10" t="s">
        <v>1766</v>
      </c>
      <c r="G78" s="10" t="s">
        <v>1797</v>
      </c>
      <c r="H78" s="10" t="s">
        <v>1836</v>
      </c>
      <c r="I78" s="1017"/>
    </row>
    <row r="79" spans="1:9">
      <c r="A79" s="14">
        <f t="shared" si="0"/>
        <v>75</v>
      </c>
      <c r="B79" s="10">
        <v>75</v>
      </c>
      <c r="C79" s="669" t="s">
        <v>893</v>
      </c>
      <c r="D79" s="10" t="str">
        <f>VLOOKUP(C79,Erection!$C$5:$D$307,2,0)</f>
        <v>DA+6</v>
      </c>
      <c r="E79" s="114">
        <v>46188</v>
      </c>
      <c r="F79" s="10" t="s">
        <v>1766</v>
      </c>
      <c r="G79" s="10" t="s">
        <v>1797</v>
      </c>
      <c r="H79" s="10" t="s">
        <v>1836</v>
      </c>
      <c r="I79" s="1017"/>
    </row>
    <row r="80" spans="1:9">
      <c r="A80" s="14">
        <f t="shared" ref="A80:A99" si="1">A79+1</f>
        <v>76</v>
      </c>
      <c r="B80" s="10">
        <v>76</v>
      </c>
      <c r="C80" s="669" t="s">
        <v>1265</v>
      </c>
      <c r="D80" s="10" t="str">
        <f>VLOOKUP(C80,Erection!$C$5:$D$307,2,0)</f>
        <v>DB1+9</v>
      </c>
      <c r="E80" s="114">
        <v>46189</v>
      </c>
      <c r="F80" s="10" t="s">
        <v>1766</v>
      </c>
      <c r="G80" s="10" t="s">
        <v>1769</v>
      </c>
      <c r="H80" s="10" t="s">
        <v>1836</v>
      </c>
      <c r="I80" s="1017"/>
    </row>
    <row r="81" spans="1:9">
      <c r="A81" s="14">
        <f t="shared" si="1"/>
        <v>77</v>
      </c>
      <c r="B81" s="10">
        <v>77</v>
      </c>
      <c r="C81" s="669" t="s">
        <v>1266</v>
      </c>
      <c r="D81" s="10" t="str">
        <f>VLOOKUP(C81,Erection!$C$5:$D$307,2,0)</f>
        <v>DA+3</v>
      </c>
      <c r="E81" s="114">
        <v>46189</v>
      </c>
      <c r="F81" s="10" t="s">
        <v>1766</v>
      </c>
      <c r="G81" s="10" t="s">
        <v>1769</v>
      </c>
      <c r="H81" s="10" t="s">
        <v>1836</v>
      </c>
      <c r="I81" s="1017"/>
    </row>
    <row r="82" spans="1:9">
      <c r="A82" s="14">
        <f t="shared" si="1"/>
        <v>78</v>
      </c>
      <c r="B82" s="10">
        <v>78</v>
      </c>
      <c r="C82" s="669" t="s">
        <v>256</v>
      </c>
      <c r="D82" s="10" t="str">
        <f>VLOOKUP(C82,Erection!$C$5:$D$307,2,0)</f>
        <v>DB2+9</v>
      </c>
      <c r="E82" s="114">
        <v>46189</v>
      </c>
      <c r="F82" s="10" t="s">
        <v>1766</v>
      </c>
      <c r="G82" s="10" t="s">
        <v>1797</v>
      </c>
      <c r="H82" s="10" t="s">
        <v>1836</v>
      </c>
      <c r="I82" s="1017"/>
    </row>
    <row r="83" spans="1:9">
      <c r="A83" s="14">
        <f t="shared" si="1"/>
        <v>79</v>
      </c>
      <c r="B83" s="10">
        <v>79</v>
      </c>
      <c r="C83" s="669" t="s">
        <v>454</v>
      </c>
      <c r="D83" s="10" t="str">
        <f>VLOOKUP(C83,Erection!$C$5:$D$307,2,0)</f>
        <v>DA+6</v>
      </c>
      <c r="E83" s="114">
        <v>46189</v>
      </c>
      <c r="F83" s="10" t="s">
        <v>1766</v>
      </c>
      <c r="G83" s="10" t="s">
        <v>1797</v>
      </c>
      <c r="H83" s="10" t="s">
        <v>1836</v>
      </c>
      <c r="I83" s="1017" t="s">
        <v>1859</v>
      </c>
    </row>
    <row r="84" spans="1:9">
      <c r="A84" s="14">
        <f t="shared" si="1"/>
        <v>80</v>
      </c>
      <c r="B84" s="10">
        <v>80</v>
      </c>
      <c r="C84" s="669" t="s">
        <v>1258</v>
      </c>
      <c r="D84" s="10" t="str">
        <f>VLOOKUP(C84,Erection!$C$5:$D$307,2,0)</f>
        <v>DD45+3</v>
      </c>
      <c r="E84" s="114">
        <v>46190</v>
      </c>
      <c r="F84" s="10" t="s">
        <v>1766</v>
      </c>
      <c r="G84" s="10" t="s">
        <v>1769</v>
      </c>
      <c r="H84" s="10" t="s">
        <v>1836</v>
      </c>
      <c r="I84" s="1017"/>
    </row>
    <row r="85" spans="1:9">
      <c r="A85" s="14">
        <f t="shared" si="1"/>
        <v>81</v>
      </c>
      <c r="B85" s="10">
        <v>81</v>
      </c>
      <c r="C85" s="669" t="s">
        <v>1259</v>
      </c>
      <c r="D85" s="10" t="str">
        <f>VLOOKUP(C85,Erection!$C$5:$D$307,2,0)</f>
        <v>DA+3</v>
      </c>
      <c r="E85" s="114">
        <v>46190</v>
      </c>
      <c r="F85" s="10" t="s">
        <v>1766</v>
      </c>
      <c r="G85" s="10" t="s">
        <v>1769</v>
      </c>
      <c r="H85" s="10" t="s">
        <v>1836</v>
      </c>
      <c r="I85" s="1017"/>
    </row>
    <row r="86" spans="1:9">
      <c r="A86" s="14">
        <f t="shared" si="1"/>
        <v>82</v>
      </c>
      <c r="B86" s="10">
        <v>82</v>
      </c>
      <c r="C86" s="669" t="s">
        <v>1260</v>
      </c>
      <c r="D86" s="10" t="str">
        <f>VLOOKUP(C86,Erection!$C$5:$D$307,2,0)</f>
        <v>DA+3</v>
      </c>
      <c r="E86" s="114">
        <v>46191</v>
      </c>
      <c r="F86" s="10" t="s">
        <v>1766</v>
      </c>
      <c r="G86" s="10" t="s">
        <v>1797</v>
      </c>
      <c r="H86" s="10" t="s">
        <v>1836</v>
      </c>
      <c r="I86" s="1017"/>
    </row>
    <row r="87" spans="1:9">
      <c r="A87" s="14">
        <f t="shared" si="1"/>
        <v>83</v>
      </c>
      <c r="B87" s="10">
        <v>83</v>
      </c>
      <c r="C87" s="669" t="s">
        <v>1261</v>
      </c>
      <c r="D87" s="10" t="str">
        <f>VLOOKUP(C87,Erection!$C$5:$D$307,2,0)</f>
        <v>DA+0</v>
      </c>
      <c r="E87" s="114">
        <v>46191</v>
      </c>
      <c r="F87" s="10" t="s">
        <v>1766</v>
      </c>
      <c r="G87" s="10" t="s">
        <v>1797</v>
      </c>
      <c r="H87" s="10" t="s">
        <v>1836</v>
      </c>
      <c r="I87" s="1017"/>
    </row>
    <row r="88" spans="1:9">
      <c r="A88" s="14">
        <f t="shared" si="1"/>
        <v>84</v>
      </c>
      <c r="B88" s="10">
        <v>84</v>
      </c>
      <c r="C88" s="669" t="s">
        <v>1262</v>
      </c>
      <c r="D88" s="10" t="str">
        <f>VLOOKUP(C88,Erection!$C$5:$D$307,2,0)</f>
        <v>DA+0</v>
      </c>
      <c r="E88" s="114">
        <v>46191</v>
      </c>
      <c r="F88" s="10" t="s">
        <v>1766</v>
      </c>
      <c r="G88" s="10" t="s">
        <v>1797</v>
      </c>
      <c r="H88" s="10" t="s">
        <v>1836</v>
      </c>
      <c r="I88" s="1017"/>
    </row>
    <row r="89" spans="1:9">
      <c r="A89" s="14">
        <f t="shared" si="1"/>
        <v>85</v>
      </c>
      <c r="B89" s="10">
        <v>85</v>
      </c>
      <c r="C89" s="669" t="s">
        <v>1263</v>
      </c>
      <c r="D89" s="10" t="str">
        <f>VLOOKUP(C89,Erection!$C$5:$D$307,2,0)</f>
        <v>DA+3</v>
      </c>
      <c r="E89" s="114">
        <v>46191</v>
      </c>
      <c r="F89" s="10" t="s">
        <v>1766</v>
      </c>
      <c r="G89" s="10" t="s">
        <v>1797</v>
      </c>
      <c r="H89" s="10" t="s">
        <v>1836</v>
      </c>
      <c r="I89" s="1017"/>
    </row>
    <row r="90" spans="1:9">
      <c r="A90" s="14">
        <f t="shared" si="1"/>
        <v>86</v>
      </c>
      <c r="B90" s="10">
        <v>86</v>
      </c>
      <c r="C90" s="669" t="s">
        <v>1264</v>
      </c>
      <c r="D90" s="10" t="str">
        <f>VLOOKUP(C90,Erection!$C$5:$D$307,2,0)</f>
        <v>DA+0</v>
      </c>
      <c r="E90" s="114">
        <v>46192</v>
      </c>
      <c r="F90" s="10" t="s">
        <v>1766</v>
      </c>
      <c r="G90" s="10" t="s">
        <v>1797</v>
      </c>
      <c r="H90" s="10" t="s">
        <v>1836</v>
      </c>
      <c r="I90" s="1017"/>
    </row>
    <row r="91" spans="1:9">
      <c r="A91" s="14">
        <f t="shared" si="1"/>
        <v>87</v>
      </c>
      <c r="B91" s="10">
        <v>87</v>
      </c>
      <c r="C91" s="669" t="s">
        <v>1250</v>
      </c>
      <c r="D91" s="10" t="str">
        <f>VLOOKUP(C91,Erection!$C$5:$D$307,2,0)</f>
        <v>DD45+0</v>
      </c>
      <c r="E91" s="114">
        <v>46192</v>
      </c>
      <c r="F91" s="10" t="s">
        <v>1766</v>
      </c>
      <c r="G91" s="10" t="s">
        <v>1798</v>
      </c>
      <c r="H91" s="10" t="s">
        <v>1836</v>
      </c>
      <c r="I91" s="1017"/>
    </row>
    <row r="92" spans="1:9">
      <c r="A92" s="14">
        <f t="shared" si="1"/>
        <v>88</v>
      </c>
      <c r="B92" s="10">
        <v>88</v>
      </c>
      <c r="C92" s="669" t="s">
        <v>261</v>
      </c>
      <c r="D92" s="10" t="str">
        <f>VLOOKUP(C92,Erection!$C$5:$D$307,2,0)</f>
        <v>DB2+0</v>
      </c>
      <c r="E92" s="114">
        <v>46192</v>
      </c>
      <c r="F92" s="10" t="s">
        <v>1766</v>
      </c>
      <c r="G92" s="10" t="s">
        <v>1769</v>
      </c>
      <c r="H92" s="10" t="s">
        <v>1836</v>
      </c>
      <c r="I92" s="1017"/>
    </row>
    <row r="93" spans="1:9">
      <c r="A93" s="14">
        <f t="shared" si="1"/>
        <v>89</v>
      </c>
      <c r="B93" s="10">
        <v>89</v>
      </c>
      <c r="C93" s="669" t="s">
        <v>1257</v>
      </c>
      <c r="D93" s="10" t="str">
        <f>VLOOKUP(C93,Erection!$C$5:$D$307,2,0)</f>
        <v>DA+6</v>
      </c>
      <c r="E93" s="114">
        <v>46194</v>
      </c>
      <c r="F93" s="10" t="s">
        <v>1766</v>
      </c>
      <c r="G93" s="10" t="s">
        <v>1769</v>
      </c>
      <c r="H93" s="10" t="s">
        <v>1836</v>
      </c>
      <c r="I93" s="1017"/>
    </row>
    <row r="94" spans="1:9">
      <c r="A94" s="14">
        <f t="shared" si="1"/>
        <v>90</v>
      </c>
      <c r="B94" s="10">
        <v>90</v>
      </c>
      <c r="C94" s="669" t="s">
        <v>1256</v>
      </c>
      <c r="D94" s="10" t="str">
        <f>VLOOKUP(C94,Erection!$C$5:$D$307,2,0)</f>
        <v>DA+3</v>
      </c>
      <c r="E94" s="114">
        <v>46194</v>
      </c>
      <c r="F94" s="10" t="s">
        <v>1766</v>
      </c>
      <c r="G94" s="10" t="s">
        <v>1769</v>
      </c>
      <c r="H94" s="10" t="s">
        <v>1836</v>
      </c>
      <c r="I94" s="1017"/>
    </row>
    <row r="95" spans="1:9">
      <c r="A95" s="14">
        <f t="shared" si="1"/>
        <v>91</v>
      </c>
      <c r="B95" s="10">
        <v>91</v>
      </c>
      <c r="C95" s="669" t="s">
        <v>1254</v>
      </c>
      <c r="D95" s="10" t="str">
        <f>VLOOKUP(C95,Erection!$C$5:$D$307,2,0)</f>
        <v>DA+3</v>
      </c>
      <c r="E95" s="114">
        <v>46194</v>
      </c>
      <c r="F95" s="10" t="s">
        <v>1766</v>
      </c>
      <c r="G95" s="10" t="s">
        <v>1769</v>
      </c>
      <c r="H95" s="10" t="s">
        <v>1836</v>
      </c>
      <c r="I95" s="1017"/>
    </row>
    <row r="96" spans="1:9">
      <c r="A96" s="14">
        <f t="shared" si="1"/>
        <v>92</v>
      </c>
      <c r="B96" s="10">
        <v>92</v>
      </c>
      <c r="C96" s="1032" t="s">
        <v>496</v>
      </c>
      <c r="D96" s="10" t="str">
        <f>VLOOKUP(C96,Erection!$C$5:$D$307,2,0)</f>
        <v>DA+3</v>
      </c>
      <c r="E96" s="114">
        <v>46195</v>
      </c>
      <c r="F96" s="10" t="s">
        <v>1766</v>
      </c>
      <c r="G96" s="10" t="s">
        <v>1769</v>
      </c>
      <c r="H96" s="10" t="s">
        <v>1836</v>
      </c>
      <c r="I96" s="1017"/>
    </row>
    <row r="97" spans="1:9">
      <c r="A97" s="14">
        <f t="shared" si="1"/>
        <v>93</v>
      </c>
      <c r="B97" s="10">
        <v>93</v>
      </c>
      <c r="C97" s="669" t="s">
        <v>495</v>
      </c>
      <c r="D97" s="10" t="str">
        <f>VLOOKUP(C97,Erection!$C$5:$D$307,2,0)</f>
        <v>DA+3</v>
      </c>
      <c r="E97" s="114">
        <v>46195</v>
      </c>
      <c r="F97" s="10" t="s">
        <v>1766</v>
      </c>
      <c r="G97" s="10" t="s">
        <v>1769</v>
      </c>
      <c r="H97" s="10" t="s">
        <v>1836</v>
      </c>
      <c r="I97" s="1017"/>
    </row>
    <row r="98" spans="1:9">
      <c r="A98" s="14">
        <f t="shared" si="1"/>
        <v>94</v>
      </c>
      <c r="B98" s="10">
        <v>94</v>
      </c>
      <c r="C98" s="669" t="s">
        <v>494</v>
      </c>
      <c r="D98" s="10" t="str">
        <f>VLOOKUP(C98,Erection!$C$5:$D$307,2,0)</f>
        <v>DA+1.5</v>
      </c>
      <c r="E98" s="114">
        <v>46195</v>
      </c>
      <c r="F98" s="10" t="s">
        <v>1766</v>
      </c>
      <c r="G98" s="10" t="s">
        <v>1769</v>
      </c>
      <c r="H98" s="10" t="s">
        <v>1836</v>
      </c>
      <c r="I98" s="1017"/>
    </row>
    <row r="99" spans="1:9">
      <c r="A99" s="14">
        <f t="shared" si="1"/>
        <v>95</v>
      </c>
      <c r="B99" s="10">
        <v>95</v>
      </c>
      <c r="C99" s="669" t="s">
        <v>493</v>
      </c>
      <c r="D99" s="10" t="str">
        <f>VLOOKUP(C99,Erection!$C$5:$D$307,2,0)</f>
        <v>DB1+6</v>
      </c>
      <c r="E99" s="114">
        <v>46195</v>
      </c>
      <c r="F99" s="10" t="s">
        <v>1766</v>
      </c>
      <c r="G99" s="10" t="s">
        <v>1769</v>
      </c>
      <c r="H99" s="10" t="s">
        <v>1836</v>
      </c>
      <c r="I99" s="1017"/>
    </row>
    <row r="100" spans="1:9">
      <c r="A100" s="14">
        <f t="shared" ref="A100:A104" si="2">A99+1</f>
        <v>96</v>
      </c>
      <c r="B100" s="10">
        <v>96</v>
      </c>
      <c r="C100" s="669" t="s">
        <v>267</v>
      </c>
      <c r="D100" s="10" t="str">
        <f>VLOOKUP(C100,Erection!$C$5:$D$307,2,0)</f>
        <v>DD60+9</v>
      </c>
      <c r="E100" s="114">
        <v>46199</v>
      </c>
      <c r="F100" s="10" t="s">
        <v>1766</v>
      </c>
      <c r="G100" s="10" t="s">
        <v>1769</v>
      </c>
      <c r="H100" s="10" t="s">
        <v>1150</v>
      </c>
      <c r="I100" s="1017"/>
    </row>
    <row r="101" spans="1:9">
      <c r="A101" s="14">
        <f t="shared" si="2"/>
        <v>97</v>
      </c>
      <c r="B101" s="10">
        <v>97</v>
      </c>
      <c r="C101" s="1288" t="s">
        <v>485</v>
      </c>
      <c r="D101" s="10" t="str">
        <f>VLOOKUP(C101,Erection!$C$5:$D$307,2,0)</f>
        <v>DB1+9</v>
      </c>
      <c r="E101" s="114">
        <v>46199</v>
      </c>
      <c r="F101" s="10" t="s">
        <v>1766</v>
      </c>
      <c r="G101" s="10" t="s">
        <v>1769</v>
      </c>
      <c r="H101" s="10" t="s">
        <v>1150</v>
      </c>
      <c r="I101" s="1300"/>
    </row>
    <row r="102" spans="1:9">
      <c r="A102" s="14">
        <f t="shared" si="2"/>
        <v>98</v>
      </c>
      <c r="B102" s="10">
        <v>98</v>
      </c>
      <c r="C102" s="1288" t="s">
        <v>1255</v>
      </c>
      <c r="D102" s="10" t="str">
        <f>VLOOKUP(C102,Erection!$C$5:$D$307,2,0)</f>
        <v>DA+3</v>
      </c>
      <c r="E102" s="114">
        <v>46200</v>
      </c>
      <c r="F102" s="10" t="s">
        <v>1766</v>
      </c>
      <c r="G102" s="10" t="s">
        <v>1798</v>
      </c>
      <c r="H102" s="10" t="s">
        <v>1150</v>
      </c>
      <c r="I102" s="1300"/>
    </row>
    <row r="103" spans="1:9">
      <c r="A103" s="14">
        <f t="shared" si="2"/>
        <v>99</v>
      </c>
      <c r="B103" s="10">
        <v>99</v>
      </c>
      <c r="C103" s="1288" t="s">
        <v>1252</v>
      </c>
      <c r="D103" s="10" t="str">
        <f>VLOOKUP(C103,Erection!$C$5:$D$307,2,0)</f>
        <v>DA+0</v>
      </c>
      <c r="E103" s="114">
        <v>46200</v>
      </c>
      <c r="F103" s="10" t="s">
        <v>1766</v>
      </c>
      <c r="G103" s="10" t="s">
        <v>1798</v>
      </c>
      <c r="H103" s="10" t="s">
        <v>1150</v>
      </c>
      <c r="I103" s="1300"/>
    </row>
    <row r="104" spans="1:9">
      <c r="A104" s="1788">
        <f t="shared" si="2"/>
        <v>100</v>
      </c>
      <c r="B104" s="177">
        <v>100</v>
      </c>
      <c r="C104" s="1408" t="s">
        <v>498</v>
      </c>
      <c r="D104" s="628"/>
      <c r="E104" s="1789"/>
      <c r="F104" s="177"/>
      <c r="G104" s="177"/>
      <c r="H104" s="177" t="s">
        <v>1864</v>
      </c>
      <c r="I104" s="1790"/>
    </row>
    <row r="105" spans="1:9">
      <c r="A105" s="1299"/>
      <c r="B105" s="1284"/>
      <c r="C105" s="1288"/>
      <c r="D105" s="1040"/>
      <c r="E105" s="1289"/>
      <c r="F105" s="1284"/>
      <c r="G105" s="1284"/>
      <c r="H105" s="1284"/>
      <c r="I105" s="1300"/>
    </row>
    <row r="106" spans="1:9">
      <c r="A106" s="1299"/>
      <c r="B106" s="1284"/>
      <c r="C106" s="1288"/>
      <c r="D106" s="1040"/>
      <c r="E106" s="1289"/>
      <c r="F106" s="1284"/>
      <c r="G106" s="1284"/>
      <c r="H106" s="1284"/>
      <c r="I106" s="1300"/>
    </row>
    <row r="107" spans="1:9">
      <c r="A107" s="1299"/>
      <c r="B107" s="1284"/>
      <c r="C107" s="1288"/>
      <c r="D107" s="1040"/>
      <c r="E107" s="1289"/>
      <c r="F107" s="1284"/>
      <c r="G107" s="1284"/>
      <c r="H107" s="1284"/>
      <c r="I107" s="1300"/>
    </row>
    <row r="108" spans="1:9">
      <c r="A108" s="1299"/>
      <c r="B108" s="1284"/>
      <c r="C108" s="1288"/>
      <c r="D108" s="1040"/>
      <c r="E108" s="1289"/>
      <c r="F108" s="1284"/>
      <c r="G108" s="1284"/>
      <c r="H108" s="1284"/>
      <c r="I108" s="1300"/>
    </row>
    <row r="109" spans="1:9">
      <c r="A109" s="1299"/>
      <c r="B109" s="1284"/>
      <c r="C109" s="1288"/>
      <c r="D109" s="1040"/>
      <c r="E109" s="1289"/>
      <c r="F109" s="1284"/>
      <c r="G109" s="1284"/>
      <c r="H109" s="1284"/>
      <c r="I109" s="1300"/>
    </row>
    <row r="110" spans="1:9">
      <c r="A110" s="1299"/>
      <c r="B110" s="1284"/>
      <c r="C110" s="1288"/>
      <c r="D110" s="1040"/>
      <c r="E110" s="1289"/>
      <c r="F110" s="1284"/>
      <c r="G110" s="1284"/>
      <c r="H110" s="1284"/>
      <c r="I110" s="1300"/>
    </row>
    <row r="111" spans="1:9">
      <c r="A111" s="1299"/>
      <c r="B111" s="1284"/>
      <c r="C111" s="1288"/>
      <c r="D111" s="1040"/>
      <c r="E111" s="1289"/>
      <c r="F111" s="1284"/>
      <c r="G111" s="1284"/>
      <c r="H111" s="1284"/>
      <c r="I111" s="1300"/>
    </row>
    <row r="112" spans="1:9">
      <c r="A112" s="1299"/>
      <c r="B112" s="1284"/>
      <c r="C112" s="1288"/>
      <c r="D112" s="1040"/>
      <c r="E112" s="1289"/>
      <c r="F112" s="1284"/>
      <c r="G112" s="1284"/>
      <c r="H112" s="1284"/>
      <c r="I112" s="1300"/>
    </row>
    <row r="113" spans="1:9">
      <c r="A113" s="1299"/>
      <c r="B113" s="1284"/>
      <c r="C113" s="1288"/>
      <c r="D113" s="1040"/>
      <c r="E113" s="1289"/>
      <c r="F113" s="1284"/>
      <c r="G113" s="1284"/>
      <c r="H113" s="1284"/>
      <c r="I113" s="1300"/>
    </row>
    <row r="114" spans="1:9" ht="15" thickBot="1">
      <c r="A114" s="1297"/>
      <c r="B114" s="17"/>
      <c r="C114" s="1174"/>
      <c r="D114" s="1298"/>
      <c r="E114" s="1177"/>
      <c r="F114" s="17"/>
      <c r="G114" s="17"/>
      <c r="H114" s="17"/>
      <c r="I114" s="1178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6" priority="12"/>
    <cfRule type="duplicateValues" dxfId="115" priority="27"/>
  </conditionalFormatting>
  <conditionalFormatting sqref="C1:C1048576">
    <cfRule type="duplicateValues" dxfId="114" priority="1"/>
    <cfRule type="duplicateValues" dxfId="113" priority="2"/>
  </conditionalFormatting>
  <conditionalFormatting sqref="C5">
    <cfRule type="duplicateValues" dxfId="112" priority="26"/>
  </conditionalFormatting>
  <conditionalFormatting sqref="C28 C13:C26">
    <cfRule type="duplicateValues" dxfId="111" priority="19"/>
    <cfRule type="duplicateValues" dxfId="110" priority="20"/>
    <cfRule type="duplicateValues" dxfId="109" priority="21"/>
    <cfRule type="duplicateValues" dxfId="108" priority="22"/>
    <cfRule type="duplicateValues" dxfId="107" priority="23"/>
    <cfRule type="duplicateValues" dxfId="106" priority="24"/>
  </conditionalFormatting>
  <conditionalFormatting sqref="C29">
    <cfRule type="duplicateValues" dxfId="105" priority="13"/>
    <cfRule type="duplicateValues" dxfId="104" priority="14"/>
    <cfRule type="duplicateValues" dxfId="103" priority="15"/>
    <cfRule type="duplicateValues" dxfId="102" priority="16"/>
    <cfRule type="duplicateValues" dxfId="101" priority="17"/>
    <cfRule type="duplicateValues" dxfId="100" priority="18"/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J40">
    <cfRule type="duplicateValues" dxfId="93" priority="3"/>
    <cfRule type="duplicateValues" dxfId="92" priority="4"/>
    <cfRule type="duplicateValues" dxfId="91" priority="5"/>
    <cfRule type="duplicateValues" dxfId="90" priority="6"/>
    <cfRule type="duplicateValues" dxfId="89" priority="7"/>
    <cfRule type="duplicateValues" dxfId="88" priority="8"/>
    <cfRule type="duplicateValues" dxfId="87" priority="9"/>
    <cfRule type="duplicateValues" dxfId="86" priority="10"/>
  </conditionalFormatting>
  <conditionalFormatting sqref="C29:C65582 C1:C12 C14 C16 C18 C20 C22 C24 J40">
    <cfRule type="expression" dxfId="85" priority="4587" stopIfTrue="1">
      <formula>AND(COUNTIF($C$28:$C$65582, C1)+COUNTIF($C$1:$C$12, C1)&gt;1,NOT(ISBLANK(C1)))</formula>
    </cfRule>
  </conditionalFormatting>
  <conditionalFormatting sqref="C44:C65582">
    <cfRule type="duplicateValues" dxfId="84" priority="4597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50"/>
  <sheetViews>
    <sheetView topLeftCell="A29" workbookViewId="0">
      <selection activeCell="H50" sqref="H5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429" t="s">
        <v>120</v>
      </c>
      <c r="B1" s="1430"/>
      <c r="C1" s="1430"/>
      <c r="D1" s="1430"/>
      <c r="E1" s="1430"/>
      <c r="F1" s="1430"/>
      <c r="G1" s="1430"/>
      <c r="H1" s="1430"/>
      <c r="I1" s="1430"/>
      <c r="J1" s="1430"/>
      <c r="K1" s="1430"/>
      <c r="L1" s="1430"/>
      <c r="M1" s="1431"/>
    </row>
    <row r="2" spans="1:13" ht="15.5">
      <c r="A2" s="1601" t="str">
        <f>TA413_PBNTL!A1</f>
        <v xml:space="preserve"> TA413 : 765 KV D/C Bikaner III - Neemrana II TL02</v>
      </c>
      <c r="B2" s="1602"/>
      <c r="C2" s="1602"/>
      <c r="D2" s="1602"/>
      <c r="E2" s="1602"/>
      <c r="F2" s="1602"/>
      <c r="G2" s="1602"/>
      <c r="H2" s="1602"/>
      <c r="I2" s="1602"/>
      <c r="J2" s="1602"/>
      <c r="K2" s="1602"/>
      <c r="L2" s="1602"/>
      <c r="M2" s="1623"/>
    </row>
    <row r="3" spans="1:13" ht="16" thickBot="1">
      <c r="A3" s="1624" t="s">
        <v>116</v>
      </c>
      <c r="B3" s="1625"/>
      <c r="C3" s="1625"/>
      <c r="D3" s="1625"/>
      <c r="E3" s="1625"/>
      <c r="F3" s="1625"/>
      <c r="G3" s="1625"/>
      <c r="H3" s="1625"/>
      <c r="I3" s="1625"/>
      <c r="J3" s="1625"/>
      <c r="K3" s="1625"/>
      <c r="L3" s="1625"/>
      <c r="M3" s="66" t="str">
        <f>TA413_PBNTL!M1</f>
        <v>26.06.2026</v>
      </c>
    </row>
    <row r="4" spans="1:13" ht="43.5">
      <c r="A4" s="1391" t="s">
        <v>41</v>
      </c>
      <c r="B4" s="1392" t="s">
        <v>42</v>
      </c>
      <c r="C4" s="1393" t="s">
        <v>43</v>
      </c>
      <c r="D4" s="1392" t="s">
        <v>44</v>
      </c>
      <c r="E4" s="1394" t="s">
        <v>115</v>
      </c>
      <c r="F4" s="1394" t="s">
        <v>111</v>
      </c>
      <c r="G4" s="1394" t="s">
        <v>117</v>
      </c>
      <c r="H4" s="1394" t="s">
        <v>118</v>
      </c>
      <c r="I4" s="1394" t="s">
        <v>1841</v>
      </c>
      <c r="J4" s="1394" t="s">
        <v>119</v>
      </c>
      <c r="K4" s="1395" t="s">
        <v>87</v>
      </c>
      <c r="L4" s="1392" t="s">
        <v>48</v>
      </c>
      <c r="M4" s="1396" t="s">
        <v>1</v>
      </c>
    </row>
    <row r="5" spans="1:13" ht="15.5">
      <c r="A5" s="10">
        <v>1</v>
      </c>
      <c r="B5" s="10">
        <v>1</v>
      </c>
      <c r="C5" s="921" t="s">
        <v>268</v>
      </c>
      <c r="D5" s="1398" t="s">
        <v>188</v>
      </c>
      <c r="E5" s="10" t="s">
        <v>1840</v>
      </c>
      <c r="F5" s="10" t="s">
        <v>1840</v>
      </c>
      <c r="G5" s="10" t="s">
        <v>1840</v>
      </c>
      <c r="H5" s="10" t="s">
        <v>1840</v>
      </c>
      <c r="I5" s="114">
        <v>46189</v>
      </c>
      <c r="J5" s="10"/>
      <c r="K5" s="10" t="s">
        <v>1008</v>
      </c>
      <c r="L5" s="10"/>
      <c r="M5" s="1397"/>
    </row>
    <row r="6" spans="1:13" ht="15.5">
      <c r="A6" s="10">
        <v>2</v>
      </c>
      <c r="B6" s="10">
        <v>2</v>
      </c>
      <c r="C6" s="750" t="s">
        <v>1250</v>
      </c>
      <c r="D6" s="1398" t="s">
        <v>178</v>
      </c>
      <c r="E6" s="10"/>
      <c r="F6" s="10"/>
      <c r="G6" s="10"/>
      <c r="H6" s="10"/>
      <c r="I6" s="10"/>
      <c r="J6" s="10"/>
      <c r="K6" s="10"/>
      <c r="L6" s="10"/>
      <c r="M6" s="1134" t="s">
        <v>1839</v>
      </c>
    </row>
    <row r="7" spans="1:13" ht="15.5">
      <c r="A7" s="10">
        <v>3</v>
      </c>
      <c r="B7" s="10">
        <v>3</v>
      </c>
      <c r="C7" s="921" t="s">
        <v>1252</v>
      </c>
      <c r="D7" s="1399" t="s">
        <v>3</v>
      </c>
      <c r="E7" s="10" t="s">
        <v>1840</v>
      </c>
      <c r="F7" s="10" t="s">
        <v>1840</v>
      </c>
      <c r="G7" s="10" t="s">
        <v>1840</v>
      </c>
      <c r="H7" s="10" t="s">
        <v>1840</v>
      </c>
      <c r="I7" s="114">
        <v>46189</v>
      </c>
      <c r="J7" s="10"/>
      <c r="K7" s="10" t="s">
        <v>1008</v>
      </c>
      <c r="L7" s="10"/>
      <c r="M7" s="1397"/>
    </row>
    <row r="8" spans="1:13" ht="15.5">
      <c r="A8" s="10">
        <v>4</v>
      </c>
      <c r="B8" s="10">
        <v>4</v>
      </c>
      <c r="C8" s="921" t="s">
        <v>1253</v>
      </c>
      <c r="D8" s="1399" t="s">
        <v>2</v>
      </c>
      <c r="E8" s="10" t="s">
        <v>1840</v>
      </c>
      <c r="F8" s="10" t="s">
        <v>1840</v>
      </c>
      <c r="G8" s="10" t="s">
        <v>1840</v>
      </c>
      <c r="H8" s="10" t="s">
        <v>1840</v>
      </c>
      <c r="I8" s="114">
        <v>46189</v>
      </c>
      <c r="J8" s="10"/>
      <c r="K8" s="10" t="s">
        <v>1008</v>
      </c>
      <c r="L8" s="10"/>
      <c r="M8" s="1397"/>
    </row>
    <row r="9" spans="1:13" ht="15.5">
      <c r="A9" s="10">
        <v>5</v>
      </c>
      <c r="B9" s="10">
        <v>5</v>
      </c>
      <c r="C9" s="921" t="s">
        <v>1254</v>
      </c>
      <c r="D9" s="1399" t="s">
        <v>2</v>
      </c>
      <c r="E9" s="10" t="s">
        <v>1840</v>
      </c>
      <c r="F9" s="10" t="s">
        <v>1840</v>
      </c>
      <c r="G9" s="10" t="s">
        <v>1840</v>
      </c>
      <c r="H9" s="10" t="s">
        <v>1840</v>
      </c>
      <c r="I9" s="114">
        <v>46189</v>
      </c>
      <c r="J9" s="10"/>
      <c r="K9" s="10" t="s">
        <v>1008</v>
      </c>
      <c r="L9" s="10"/>
      <c r="M9" s="1397"/>
    </row>
    <row r="10" spans="1:13" ht="15.5">
      <c r="A10" s="10">
        <v>6</v>
      </c>
      <c r="B10" s="10">
        <v>6</v>
      </c>
      <c r="C10" s="921" t="s">
        <v>1255</v>
      </c>
      <c r="D10" s="1399" t="s">
        <v>2</v>
      </c>
      <c r="E10" s="10" t="s">
        <v>1840</v>
      </c>
      <c r="F10" s="10" t="s">
        <v>1840</v>
      </c>
      <c r="G10" s="10" t="s">
        <v>1840</v>
      </c>
      <c r="H10" s="10" t="s">
        <v>1840</v>
      </c>
      <c r="I10" s="114">
        <v>46189</v>
      </c>
      <c r="J10" s="10"/>
      <c r="K10" s="10" t="s">
        <v>1008</v>
      </c>
      <c r="L10" s="10"/>
      <c r="M10" s="1397"/>
    </row>
    <row r="11" spans="1:13" ht="15.5">
      <c r="A11" s="10">
        <v>7</v>
      </c>
      <c r="B11" s="10">
        <v>7</v>
      </c>
      <c r="C11" s="921" t="s">
        <v>1256</v>
      </c>
      <c r="D11" s="1399" t="s">
        <v>2</v>
      </c>
      <c r="E11" s="10" t="s">
        <v>1840</v>
      </c>
      <c r="F11" s="10" t="s">
        <v>1840</v>
      </c>
      <c r="G11" s="10" t="s">
        <v>1840</v>
      </c>
      <c r="H11" s="10" t="s">
        <v>1840</v>
      </c>
      <c r="I11" s="114">
        <v>46189</v>
      </c>
      <c r="J11" s="10"/>
      <c r="K11" s="10" t="s">
        <v>1008</v>
      </c>
      <c r="L11" s="10"/>
      <c r="M11" s="1397"/>
    </row>
    <row r="12" spans="1:13" ht="15.5">
      <c r="A12" s="10">
        <v>8</v>
      </c>
      <c r="B12" s="10">
        <v>8</v>
      </c>
      <c r="C12" s="921" t="s">
        <v>1257</v>
      </c>
      <c r="D12" s="1399" t="s">
        <v>79</v>
      </c>
      <c r="E12" s="10" t="s">
        <v>1840</v>
      </c>
      <c r="F12" s="10" t="s">
        <v>1840</v>
      </c>
      <c r="G12" s="10" t="s">
        <v>1840</v>
      </c>
      <c r="H12" s="10" t="s">
        <v>1840</v>
      </c>
      <c r="I12" s="114">
        <v>46189</v>
      </c>
      <c r="J12" s="10"/>
      <c r="K12" s="10" t="s">
        <v>1008</v>
      </c>
      <c r="L12" s="10"/>
      <c r="M12" s="1397"/>
    </row>
    <row r="13" spans="1:13" ht="15.5">
      <c r="A13" s="10">
        <v>9</v>
      </c>
      <c r="B13" s="10">
        <v>9</v>
      </c>
      <c r="C13" s="921" t="s">
        <v>1258</v>
      </c>
      <c r="D13" s="1399" t="s">
        <v>183</v>
      </c>
      <c r="E13" s="10" t="s">
        <v>1840</v>
      </c>
      <c r="F13" s="10" t="s">
        <v>1840</v>
      </c>
      <c r="G13" s="10" t="s">
        <v>1840</v>
      </c>
      <c r="H13" s="10" t="s">
        <v>1840</v>
      </c>
      <c r="I13" s="114">
        <v>46189</v>
      </c>
      <c r="J13" s="10"/>
      <c r="K13" s="10" t="s">
        <v>1008</v>
      </c>
      <c r="L13" s="10"/>
      <c r="M13" s="1397"/>
    </row>
    <row r="14" spans="1:13" ht="15.5">
      <c r="A14" s="10">
        <v>10</v>
      </c>
      <c r="B14" s="10">
        <v>10</v>
      </c>
      <c r="C14" s="921" t="s">
        <v>1259</v>
      </c>
      <c r="D14" s="1399" t="s">
        <v>2</v>
      </c>
      <c r="E14" s="10" t="s">
        <v>1840</v>
      </c>
      <c r="F14" s="10" t="s">
        <v>1840</v>
      </c>
      <c r="G14" s="10" t="s">
        <v>1840</v>
      </c>
      <c r="H14" s="10" t="s">
        <v>1840</v>
      </c>
      <c r="I14" s="114">
        <v>46189</v>
      </c>
      <c r="J14" s="10"/>
      <c r="K14" s="10" t="s">
        <v>1008</v>
      </c>
      <c r="L14" s="10"/>
      <c r="M14" s="1397"/>
    </row>
    <row r="15" spans="1:13" ht="15.5">
      <c r="A15" s="10">
        <v>11</v>
      </c>
      <c r="B15" s="10">
        <v>11</v>
      </c>
      <c r="C15" s="921" t="s">
        <v>1260</v>
      </c>
      <c r="D15" s="1399" t="s">
        <v>2</v>
      </c>
      <c r="E15" s="10" t="s">
        <v>1840</v>
      </c>
      <c r="F15" s="10" t="s">
        <v>1840</v>
      </c>
      <c r="G15" s="10" t="s">
        <v>1840</v>
      </c>
      <c r="H15" s="10" t="s">
        <v>1840</v>
      </c>
      <c r="I15" s="114">
        <v>46189</v>
      </c>
      <c r="J15" s="10"/>
      <c r="K15" s="10" t="s">
        <v>1008</v>
      </c>
      <c r="L15" s="10"/>
      <c r="M15" s="10"/>
    </row>
    <row r="16" spans="1:13" ht="15.5">
      <c r="A16" s="10">
        <v>12</v>
      </c>
      <c r="B16" s="10">
        <v>12</v>
      </c>
      <c r="C16" s="921" t="s">
        <v>1261</v>
      </c>
      <c r="D16" s="1399" t="s">
        <v>3</v>
      </c>
      <c r="E16" s="10" t="s">
        <v>1840</v>
      </c>
      <c r="F16" s="10" t="s">
        <v>1840</v>
      </c>
      <c r="G16" s="10" t="s">
        <v>1840</v>
      </c>
      <c r="H16" s="10" t="s">
        <v>1840</v>
      </c>
      <c r="I16" s="114">
        <v>46189</v>
      </c>
      <c r="J16" s="10"/>
      <c r="K16" s="10" t="s">
        <v>1008</v>
      </c>
      <c r="L16" s="10"/>
      <c r="M16" s="10"/>
    </row>
    <row r="17" spans="1:13" ht="15.5">
      <c r="A17" s="10">
        <v>13</v>
      </c>
      <c r="B17" s="10">
        <v>13</v>
      </c>
      <c r="C17" s="921" t="s">
        <v>1262</v>
      </c>
      <c r="D17" s="1399" t="s">
        <v>3</v>
      </c>
      <c r="E17" s="10" t="s">
        <v>1840</v>
      </c>
      <c r="F17" s="10" t="s">
        <v>1840</v>
      </c>
      <c r="G17" s="10" t="s">
        <v>1840</v>
      </c>
      <c r="H17" s="10" t="s">
        <v>1840</v>
      </c>
      <c r="I17" s="114">
        <v>46189</v>
      </c>
      <c r="J17" s="10"/>
      <c r="K17" s="10" t="s">
        <v>1008</v>
      </c>
      <c r="L17" s="10"/>
      <c r="M17" s="10"/>
    </row>
    <row r="18" spans="1:13" ht="15.5">
      <c r="A18" s="10">
        <v>14</v>
      </c>
      <c r="B18" s="10">
        <v>14</v>
      </c>
      <c r="C18" s="921" t="s">
        <v>1263</v>
      </c>
      <c r="D18" s="1399" t="s">
        <v>2</v>
      </c>
      <c r="E18" s="10" t="s">
        <v>1840</v>
      </c>
      <c r="F18" s="10" t="s">
        <v>1840</v>
      </c>
      <c r="G18" s="10" t="s">
        <v>1840</v>
      </c>
      <c r="H18" s="10" t="s">
        <v>1840</v>
      </c>
      <c r="I18" s="114">
        <v>46189</v>
      </c>
      <c r="J18" s="10"/>
      <c r="K18" s="10" t="s">
        <v>1008</v>
      </c>
      <c r="L18" s="10"/>
      <c r="M18" s="10"/>
    </row>
    <row r="19" spans="1:13" ht="15.5">
      <c r="A19" s="10">
        <v>15</v>
      </c>
      <c r="B19" s="10">
        <v>15</v>
      </c>
      <c r="C19" s="921" t="s">
        <v>1264</v>
      </c>
      <c r="D19" s="1399" t="s">
        <v>3</v>
      </c>
      <c r="E19" s="10" t="s">
        <v>1840</v>
      </c>
      <c r="F19" s="10" t="s">
        <v>1840</v>
      </c>
      <c r="G19" s="10" t="s">
        <v>1840</v>
      </c>
      <c r="H19" s="10" t="s">
        <v>1840</v>
      </c>
      <c r="I19" s="114">
        <v>46189</v>
      </c>
      <c r="J19" s="10"/>
      <c r="K19" s="10" t="s">
        <v>1008</v>
      </c>
      <c r="L19" s="10"/>
      <c r="M19" s="10"/>
    </row>
    <row r="20" spans="1:13" ht="15.5">
      <c r="A20" s="10">
        <v>16</v>
      </c>
      <c r="B20" s="10">
        <v>16</v>
      </c>
      <c r="C20" s="921" t="s">
        <v>1265</v>
      </c>
      <c r="D20" s="1399" t="s">
        <v>211</v>
      </c>
      <c r="E20" s="10"/>
      <c r="F20" s="10"/>
      <c r="G20" s="10"/>
      <c r="H20" s="10"/>
      <c r="I20" s="114"/>
      <c r="J20" s="10"/>
      <c r="K20" s="10"/>
      <c r="L20" s="10"/>
      <c r="M20" s="1134" t="s">
        <v>1839</v>
      </c>
    </row>
    <row r="21" spans="1:13" ht="15.5">
      <c r="A21" s="10">
        <v>17</v>
      </c>
      <c r="B21" s="10">
        <v>17</v>
      </c>
      <c r="C21" s="921" t="s">
        <v>1266</v>
      </c>
      <c r="D21" s="1399" t="s">
        <v>2</v>
      </c>
      <c r="E21" s="10" t="s">
        <v>1840</v>
      </c>
      <c r="F21" s="10" t="s">
        <v>1840</v>
      </c>
      <c r="G21" s="10" t="s">
        <v>1840</v>
      </c>
      <c r="H21" s="10" t="s">
        <v>1840</v>
      </c>
      <c r="I21" s="114">
        <v>46190</v>
      </c>
      <c r="J21" s="10"/>
      <c r="K21" s="10" t="s">
        <v>1008</v>
      </c>
      <c r="L21" s="10"/>
      <c r="M21" s="10"/>
    </row>
    <row r="22" spans="1:13" ht="15.5">
      <c r="A22" s="10">
        <v>18</v>
      </c>
      <c r="B22" s="10">
        <v>18</v>
      </c>
      <c r="C22" s="921" t="s">
        <v>1267</v>
      </c>
      <c r="D22" s="1399" t="s">
        <v>49</v>
      </c>
      <c r="E22" s="10"/>
      <c r="F22" s="10"/>
      <c r="G22" s="10"/>
      <c r="H22" s="10"/>
      <c r="I22" s="114"/>
      <c r="J22" s="10"/>
      <c r="K22" s="10"/>
      <c r="L22" s="10"/>
      <c r="M22" s="10" t="s">
        <v>1839</v>
      </c>
    </row>
    <row r="23" spans="1:13" ht="15.5">
      <c r="A23" s="10">
        <v>19</v>
      </c>
      <c r="B23" s="10">
        <v>19</v>
      </c>
      <c r="C23" s="921" t="s">
        <v>1268</v>
      </c>
      <c r="D23" s="1399" t="s">
        <v>79</v>
      </c>
      <c r="E23" s="10" t="s">
        <v>1840</v>
      </c>
      <c r="F23" s="10" t="s">
        <v>1840</v>
      </c>
      <c r="G23" s="10" t="s">
        <v>1840</v>
      </c>
      <c r="H23" s="10" t="s">
        <v>1840</v>
      </c>
      <c r="I23" s="114">
        <v>46190</v>
      </c>
      <c r="J23" s="10"/>
      <c r="K23" s="10" t="s">
        <v>1008</v>
      </c>
      <c r="L23" s="10"/>
      <c r="M23" s="10"/>
    </row>
    <row r="24" spans="1:13" ht="15.5">
      <c r="A24" s="10">
        <v>20</v>
      </c>
      <c r="B24" s="10">
        <v>20</v>
      </c>
      <c r="C24" s="921" t="s">
        <v>256</v>
      </c>
      <c r="D24" s="1399" t="s">
        <v>215</v>
      </c>
      <c r="E24" s="10" t="s">
        <v>1840</v>
      </c>
      <c r="F24" s="10" t="s">
        <v>1840</v>
      </c>
      <c r="G24" s="10" t="s">
        <v>1840</v>
      </c>
      <c r="H24" s="10" t="s">
        <v>1840</v>
      </c>
      <c r="I24" s="114">
        <v>46190</v>
      </c>
      <c r="J24" s="10"/>
      <c r="K24" s="10" t="s">
        <v>1008</v>
      </c>
      <c r="L24" s="10"/>
      <c r="M24" s="10"/>
    </row>
    <row r="25" spans="1:13" ht="15.5">
      <c r="A25" s="10">
        <v>21</v>
      </c>
      <c r="B25" s="10">
        <v>21</v>
      </c>
      <c r="C25" s="921" t="s">
        <v>454</v>
      </c>
      <c r="D25" s="1399" t="s">
        <v>79</v>
      </c>
      <c r="E25" s="10" t="s">
        <v>1840</v>
      </c>
      <c r="F25" s="10" t="s">
        <v>1840</v>
      </c>
      <c r="G25" s="10" t="s">
        <v>1840</v>
      </c>
      <c r="H25" s="10" t="s">
        <v>1840</v>
      </c>
      <c r="I25" s="114">
        <v>46190</v>
      </c>
      <c r="J25" s="10"/>
      <c r="K25" s="10" t="s">
        <v>1008</v>
      </c>
      <c r="L25" s="10"/>
      <c r="M25" s="10"/>
    </row>
    <row r="26" spans="1:13" ht="15.5">
      <c r="A26" s="10">
        <v>22</v>
      </c>
      <c r="B26" s="10">
        <v>22</v>
      </c>
      <c r="C26" s="921" t="s">
        <v>892</v>
      </c>
      <c r="D26" s="1399" t="s">
        <v>226</v>
      </c>
      <c r="E26" s="10" t="s">
        <v>1840</v>
      </c>
      <c r="F26" s="10" t="s">
        <v>1840</v>
      </c>
      <c r="G26" s="10" t="s">
        <v>1840</v>
      </c>
      <c r="H26" s="10" t="s">
        <v>1840</v>
      </c>
      <c r="I26" s="114">
        <v>46190</v>
      </c>
      <c r="J26" s="10"/>
      <c r="K26" s="10" t="s">
        <v>1008</v>
      </c>
      <c r="L26" s="10"/>
      <c r="M26" s="10"/>
    </row>
    <row r="27" spans="1:13" ht="15.5">
      <c r="A27" s="10">
        <v>23</v>
      </c>
      <c r="B27" s="10">
        <v>23</v>
      </c>
      <c r="C27" s="921" t="s">
        <v>893</v>
      </c>
      <c r="D27" s="1399" t="s">
        <v>79</v>
      </c>
      <c r="E27" s="10" t="s">
        <v>1840</v>
      </c>
      <c r="F27" s="10" t="s">
        <v>1840</v>
      </c>
      <c r="G27" s="10" t="s">
        <v>1840</v>
      </c>
      <c r="H27" s="10" t="s">
        <v>1840</v>
      </c>
      <c r="I27" s="114">
        <v>46190</v>
      </c>
      <c r="J27" s="10"/>
      <c r="K27" s="10" t="s">
        <v>1008</v>
      </c>
      <c r="L27" s="10"/>
      <c r="M27" s="10"/>
    </row>
    <row r="28" spans="1:13" ht="15.5">
      <c r="A28" s="10">
        <v>24</v>
      </c>
      <c r="B28" s="10">
        <v>24</v>
      </c>
      <c r="C28" s="921" t="s">
        <v>894</v>
      </c>
      <c r="D28" s="1399" t="s">
        <v>79</v>
      </c>
      <c r="E28" s="10" t="s">
        <v>1840</v>
      </c>
      <c r="F28" s="10" t="s">
        <v>1840</v>
      </c>
      <c r="G28" s="10" t="s">
        <v>1840</v>
      </c>
      <c r="H28" s="10" t="s">
        <v>1840</v>
      </c>
      <c r="I28" s="114">
        <v>46190</v>
      </c>
      <c r="J28" s="10"/>
      <c r="K28" s="10" t="s">
        <v>1008</v>
      </c>
      <c r="L28" s="10"/>
      <c r="M28" s="10"/>
    </row>
    <row r="29" spans="1:13" ht="15.5">
      <c r="A29" s="10">
        <v>25</v>
      </c>
      <c r="B29" s="10">
        <v>25</v>
      </c>
      <c r="C29" s="921" t="s">
        <v>895</v>
      </c>
      <c r="D29" s="1399" t="s">
        <v>49</v>
      </c>
      <c r="E29" s="10" t="s">
        <v>1840</v>
      </c>
      <c r="F29" s="10" t="s">
        <v>1840</v>
      </c>
      <c r="G29" s="10" t="s">
        <v>1840</v>
      </c>
      <c r="H29" s="10" t="s">
        <v>1840</v>
      </c>
      <c r="I29" s="114">
        <v>46190</v>
      </c>
      <c r="J29" s="10"/>
      <c r="K29" s="10" t="s">
        <v>1008</v>
      </c>
      <c r="L29" s="10"/>
      <c r="M29" s="10"/>
    </row>
    <row r="30" spans="1:13" ht="15.5">
      <c r="A30" s="10">
        <v>26</v>
      </c>
      <c r="B30" s="10">
        <v>26</v>
      </c>
      <c r="C30" s="921" t="s">
        <v>896</v>
      </c>
      <c r="D30" s="1399" t="s">
        <v>79</v>
      </c>
      <c r="E30" s="10" t="s">
        <v>1840</v>
      </c>
      <c r="F30" s="10" t="s">
        <v>1840</v>
      </c>
      <c r="G30" s="10" t="s">
        <v>1840</v>
      </c>
      <c r="H30" s="10" t="s">
        <v>1840</v>
      </c>
      <c r="I30" s="114">
        <v>46190</v>
      </c>
      <c r="J30" s="10"/>
      <c r="K30" s="10" t="s">
        <v>1008</v>
      </c>
      <c r="L30" s="10"/>
      <c r="M30" s="10"/>
    </row>
    <row r="31" spans="1:13" ht="15.5">
      <c r="A31" s="10">
        <v>27</v>
      </c>
      <c r="B31" s="10">
        <v>27</v>
      </c>
      <c r="C31" s="921" t="s">
        <v>897</v>
      </c>
      <c r="D31" s="1399" t="s">
        <v>49</v>
      </c>
      <c r="E31" s="10" t="s">
        <v>1840</v>
      </c>
      <c r="F31" s="10" t="s">
        <v>1840</v>
      </c>
      <c r="G31" s="10" t="s">
        <v>1840</v>
      </c>
      <c r="H31" s="10" t="s">
        <v>1840</v>
      </c>
      <c r="I31" s="114">
        <v>46190</v>
      </c>
      <c r="J31" s="10"/>
      <c r="K31" s="10" t="s">
        <v>1008</v>
      </c>
      <c r="L31" s="10"/>
      <c r="M31" s="10"/>
    </row>
    <row r="32" spans="1:13" ht="15.5">
      <c r="A32" s="10">
        <v>28</v>
      </c>
      <c r="B32" s="10">
        <v>28</v>
      </c>
      <c r="C32" s="921" t="s">
        <v>898</v>
      </c>
      <c r="D32" s="1399" t="s">
        <v>49</v>
      </c>
      <c r="E32" s="10" t="s">
        <v>1840</v>
      </c>
      <c r="F32" s="10" t="s">
        <v>1840</v>
      </c>
      <c r="G32" s="10" t="s">
        <v>1840</v>
      </c>
      <c r="H32" s="10" t="s">
        <v>1840</v>
      </c>
      <c r="I32" s="114">
        <v>46190</v>
      </c>
      <c r="J32" s="10"/>
      <c r="K32" s="10" t="s">
        <v>1008</v>
      </c>
      <c r="L32" s="10"/>
      <c r="M32" s="10"/>
    </row>
    <row r="33" spans="1:13" ht="15.5">
      <c r="A33" s="10">
        <v>29</v>
      </c>
      <c r="B33" s="10">
        <v>29</v>
      </c>
      <c r="C33" s="921" t="s">
        <v>257</v>
      </c>
      <c r="D33" s="1399" t="s">
        <v>227</v>
      </c>
      <c r="E33" s="10" t="s">
        <v>1840</v>
      </c>
      <c r="F33" s="10" t="s">
        <v>1840</v>
      </c>
      <c r="G33" s="10" t="s">
        <v>1840</v>
      </c>
      <c r="H33" s="10" t="s">
        <v>1840</v>
      </c>
      <c r="I33" s="114">
        <v>46190</v>
      </c>
      <c r="J33" s="10"/>
      <c r="K33" s="10" t="s">
        <v>1008</v>
      </c>
      <c r="L33" s="10"/>
      <c r="M33" s="10"/>
    </row>
    <row r="34" spans="1:13" ht="15.5">
      <c r="A34" s="10">
        <v>30</v>
      </c>
      <c r="B34" s="10">
        <v>30</v>
      </c>
      <c r="C34" s="921" t="s">
        <v>459</v>
      </c>
      <c r="D34" s="1399" t="s">
        <v>79</v>
      </c>
      <c r="E34" s="10" t="s">
        <v>1840</v>
      </c>
      <c r="F34" s="10" t="s">
        <v>1840</v>
      </c>
      <c r="G34" s="10" t="s">
        <v>1840</v>
      </c>
      <c r="H34" s="10" t="s">
        <v>1840</v>
      </c>
      <c r="I34" s="114">
        <v>46190</v>
      </c>
      <c r="J34" s="10"/>
      <c r="K34" s="10" t="s">
        <v>1008</v>
      </c>
      <c r="L34" s="10"/>
      <c r="M34" s="10"/>
    </row>
    <row r="35" spans="1:13" ht="15.5">
      <c r="A35" s="10">
        <v>31</v>
      </c>
      <c r="B35" s="10">
        <v>31</v>
      </c>
      <c r="C35" s="921" t="s">
        <v>460</v>
      </c>
      <c r="D35" s="1399" t="s">
        <v>49</v>
      </c>
      <c r="E35" s="10" t="s">
        <v>1840</v>
      </c>
      <c r="F35" s="10" t="s">
        <v>1840</v>
      </c>
      <c r="G35" s="10" t="s">
        <v>1840</v>
      </c>
      <c r="H35" s="10" t="s">
        <v>1840</v>
      </c>
      <c r="I35" s="114">
        <v>46190</v>
      </c>
      <c r="J35" s="10"/>
      <c r="K35" s="10" t="s">
        <v>1008</v>
      </c>
      <c r="L35" s="10"/>
      <c r="M35" s="10"/>
    </row>
    <row r="36" spans="1:13" ht="15.5">
      <c r="A36" s="10">
        <v>32</v>
      </c>
      <c r="B36" s="10">
        <v>32</v>
      </c>
      <c r="C36" s="921" t="s">
        <v>461</v>
      </c>
      <c r="D36" s="1399" t="s">
        <v>49</v>
      </c>
      <c r="E36" s="10" t="s">
        <v>1840</v>
      </c>
      <c r="F36" s="10" t="s">
        <v>1840</v>
      </c>
      <c r="G36" s="10" t="s">
        <v>1840</v>
      </c>
      <c r="H36" s="10" t="s">
        <v>1840</v>
      </c>
      <c r="I36" s="114">
        <v>46190</v>
      </c>
      <c r="J36" s="10"/>
      <c r="K36" s="10" t="s">
        <v>1008</v>
      </c>
      <c r="L36" s="10"/>
      <c r="M36" s="10"/>
    </row>
    <row r="37" spans="1:13" ht="15.5">
      <c r="A37" s="10">
        <v>33</v>
      </c>
      <c r="B37" s="10">
        <v>33</v>
      </c>
      <c r="C37" s="921" t="s">
        <v>462</v>
      </c>
      <c r="D37" s="1399" t="s">
        <v>154</v>
      </c>
      <c r="E37" s="10" t="s">
        <v>1840</v>
      </c>
      <c r="F37" s="10" t="s">
        <v>1840</v>
      </c>
      <c r="G37" s="10" t="s">
        <v>1840</v>
      </c>
      <c r="H37" s="10" t="s">
        <v>1840</v>
      </c>
      <c r="I37" s="114">
        <v>46190</v>
      </c>
      <c r="J37" s="10"/>
      <c r="K37" s="10" t="s">
        <v>1008</v>
      </c>
      <c r="L37" s="10"/>
      <c r="M37" s="10"/>
    </row>
    <row r="38" spans="1:13" ht="15.5">
      <c r="A38" s="10">
        <v>34</v>
      </c>
      <c r="B38" s="10">
        <v>34</v>
      </c>
      <c r="C38" s="921" t="s">
        <v>463</v>
      </c>
      <c r="D38" s="1399" t="s">
        <v>79</v>
      </c>
      <c r="E38" s="10" t="s">
        <v>1840</v>
      </c>
      <c r="F38" s="10" t="s">
        <v>1840</v>
      </c>
      <c r="G38" s="10" t="s">
        <v>1840</v>
      </c>
      <c r="H38" s="10" t="s">
        <v>1840</v>
      </c>
      <c r="I38" s="114">
        <v>46190</v>
      </c>
      <c r="J38" s="10"/>
      <c r="K38" s="10" t="s">
        <v>1008</v>
      </c>
      <c r="L38" s="10"/>
      <c r="M38" s="10"/>
    </row>
    <row r="39" spans="1:13" ht="15.5">
      <c r="A39" s="10">
        <v>35</v>
      </c>
      <c r="B39" s="10">
        <v>35</v>
      </c>
      <c r="C39" s="921" t="s">
        <v>464</v>
      </c>
      <c r="D39" s="1399" t="s">
        <v>2</v>
      </c>
      <c r="E39" s="10" t="s">
        <v>1840</v>
      </c>
      <c r="F39" s="10" t="s">
        <v>1840</v>
      </c>
      <c r="G39" s="10" t="s">
        <v>1840</v>
      </c>
      <c r="H39" s="10" t="s">
        <v>1840</v>
      </c>
      <c r="I39" s="114">
        <v>46190</v>
      </c>
      <c r="J39" s="10"/>
      <c r="K39" s="10" t="s">
        <v>1008</v>
      </c>
      <c r="L39" s="10"/>
      <c r="M39" s="10"/>
    </row>
    <row r="40" spans="1:13" ht="15.5">
      <c r="A40" s="10">
        <v>36</v>
      </c>
      <c r="B40" s="10">
        <v>36</v>
      </c>
      <c r="C40" s="921" t="s">
        <v>465</v>
      </c>
      <c r="D40" s="1399" t="s">
        <v>49</v>
      </c>
      <c r="E40" s="10" t="s">
        <v>1840</v>
      </c>
      <c r="F40" s="10" t="s">
        <v>1840</v>
      </c>
      <c r="G40" s="10" t="s">
        <v>1840</v>
      </c>
      <c r="H40" s="10" t="s">
        <v>1840</v>
      </c>
      <c r="I40" s="114">
        <v>46190</v>
      </c>
      <c r="J40" s="10"/>
      <c r="K40" s="10" t="s">
        <v>1008</v>
      </c>
      <c r="L40" s="10"/>
      <c r="M40" s="10"/>
    </row>
    <row r="41" spans="1:13" ht="15.5">
      <c r="A41" s="10">
        <v>37</v>
      </c>
      <c r="B41" s="10">
        <v>37</v>
      </c>
      <c r="C41" s="921" t="s">
        <v>466</v>
      </c>
      <c r="D41" s="1399" t="s">
        <v>79</v>
      </c>
      <c r="E41" s="10" t="s">
        <v>1840</v>
      </c>
      <c r="F41" s="10" t="s">
        <v>1840</v>
      </c>
      <c r="G41" s="10" t="s">
        <v>1840</v>
      </c>
      <c r="H41" s="10" t="s">
        <v>1840</v>
      </c>
      <c r="I41" s="114">
        <v>46190</v>
      </c>
      <c r="J41" s="10"/>
      <c r="K41" s="10" t="s">
        <v>1008</v>
      </c>
      <c r="L41" s="10"/>
      <c r="M41" s="10"/>
    </row>
    <row r="42" spans="1:13" ht="15.5">
      <c r="A42" s="10">
        <v>38</v>
      </c>
      <c r="B42" s="10">
        <v>38</v>
      </c>
      <c r="C42" s="921" t="s">
        <v>467</v>
      </c>
      <c r="D42" s="1399" t="s">
        <v>79</v>
      </c>
      <c r="E42" s="10" t="s">
        <v>1840</v>
      </c>
      <c r="F42" s="10" t="s">
        <v>1840</v>
      </c>
      <c r="G42" s="10" t="s">
        <v>1840</v>
      </c>
      <c r="H42" s="10" t="s">
        <v>1840</v>
      </c>
      <c r="I42" s="114">
        <v>46190</v>
      </c>
      <c r="J42" s="10"/>
      <c r="K42" s="10" t="s">
        <v>1008</v>
      </c>
      <c r="L42" s="10"/>
      <c r="M42" s="10"/>
    </row>
    <row r="43" spans="1:13" ht="15.5">
      <c r="A43" s="10">
        <v>39</v>
      </c>
      <c r="B43" s="10">
        <v>39</v>
      </c>
      <c r="C43" s="921" t="s">
        <v>468</v>
      </c>
      <c r="D43" s="1399" t="s">
        <v>49</v>
      </c>
      <c r="E43" s="10" t="s">
        <v>1840</v>
      </c>
      <c r="F43" s="10" t="s">
        <v>1840</v>
      </c>
      <c r="G43" s="10" t="s">
        <v>1840</v>
      </c>
      <c r="H43" s="10" t="s">
        <v>1840</v>
      </c>
      <c r="I43" s="114">
        <v>46190</v>
      </c>
      <c r="J43" s="10"/>
      <c r="K43" s="10" t="s">
        <v>1008</v>
      </c>
      <c r="L43" s="10"/>
      <c r="M43" s="10"/>
    </row>
    <row r="44" spans="1:13" ht="15.5">
      <c r="A44" s="10">
        <v>40</v>
      </c>
      <c r="B44" s="10">
        <v>40</v>
      </c>
      <c r="C44" s="921" t="s">
        <v>674</v>
      </c>
      <c r="D44" s="1399" t="s">
        <v>403</v>
      </c>
      <c r="E44" s="10" t="s">
        <v>1840</v>
      </c>
      <c r="F44" s="10" t="s">
        <v>1840</v>
      </c>
      <c r="G44" s="10" t="s">
        <v>1840</v>
      </c>
      <c r="H44" s="10" t="s">
        <v>1840</v>
      </c>
      <c r="I44" s="114">
        <v>46190</v>
      </c>
      <c r="J44" s="10"/>
      <c r="K44" s="10" t="s">
        <v>1008</v>
      </c>
      <c r="L44" s="10"/>
      <c r="M44" s="10"/>
    </row>
    <row r="45" spans="1:13" ht="15.5">
      <c r="A45" s="10">
        <v>41</v>
      </c>
      <c r="B45" s="10">
        <v>41</v>
      </c>
      <c r="C45" s="921" t="s">
        <v>258</v>
      </c>
      <c r="D45" s="1399" t="s">
        <v>211</v>
      </c>
      <c r="E45" s="10" t="s">
        <v>1840</v>
      </c>
      <c r="F45" s="10" t="s">
        <v>1840</v>
      </c>
      <c r="G45" s="10" t="s">
        <v>1840</v>
      </c>
      <c r="H45" s="10" t="s">
        <v>1840</v>
      </c>
      <c r="I45" s="114">
        <v>46190</v>
      </c>
      <c r="J45" s="10"/>
      <c r="K45" s="10" t="s">
        <v>1008</v>
      </c>
      <c r="L45" s="10"/>
      <c r="M45" s="10"/>
    </row>
    <row r="46" spans="1:13" ht="15.5">
      <c r="A46" s="10">
        <v>42</v>
      </c>
      <c r="B46" s="10">
        <v>42</v>
      </c>
      <c r="C46" s="921" t="s">
        <v>259</v>
      </c>
      <c r="D46" s="1399" t="s">
        <v>49</v>
      </c>
      <c r="E46" s="10" t="s">
        <v>1840</v>
      </c>
      <c r="F46" s="10" t="s">
        <v>1840</v>
      </c>
      <c r="G46" s="10" t="s">
        <v>1840</v>
      </c>
      <c r="H46" s="10" t="s">
        <v>1840</v>
      </c>
      <c r="I46" s="114">
        <v>46190</v>
      </c>
      <c r="J46" s="10"/>
      <c r="K46" s="10" t="s">
        <v>1008</v>
      </c>
      <c r="L46" s="10"/>
      <c r="M46" s="10"/>
    </row>
    <row r="47" spans="1:13" ht="15.5">
      <c r="A47" s="10">
        <v>43</v>
      </c>
      <c r="B47" s="10">
        <v>43</v>
      </c>
      <c r="C47" s="921" t="s">
        <v>260</v>
      </c>
      <c r="D47" s="1399" t="s">
        <v>79</v>
      </c>
      <c r="E47" s="10" t="s">
        <v>1840</v>
      </c>
      <c r="F47" s="10" t="s">
        <v>1840</v>
      </c>
      <c r="G47" s="10" t="s">
        <v>1840</v>
      </c>
      <c r="H47" s="10" t="s">
        <v>1840</v>
      </c>
      <c r="I47" s="114">
        <v>46190</v>
      </c>
      <c r="J47" s="10"/>
      <c r="K47" s="10" t="s">
        <v>1008</v>
      </c>
      <c r="L47" s="10"/>
      <c r="M47" s="10"/>
    </row>
    <row r="48" spans="1:13" ht="15.5">
      <c r="A48" s="10">
        <v>44</v>
      </c>
      <c r="B48" s="10">
        <v>44</v>
      </c>
      <c r="C48" s="921" t="s">
        <v>469</v>
      </c>
      <c r="D48" s="1399" t="s">
        <v>2</v>
      </c>
      <c r="E48" s="10" t="s">
        <v>1840</v>
      </c>
      <c r="F48" s="10" t="s">
        <v>1840</v>
      </c>
      <c r="G48" s="10" t="s">
        <v>1840</v>
      </c>
      <c r="H48" s="10" t="s">
        <v>1840</v>
      </c>
      <c r="I48" s="114">
        <v>46190</v>
      </c>
      <c r="J48" s="10"/>
      <c r="K48" s="10" t="s">
        <v>1008</v>
      </c>
      <c r="L48" s="10"/>
      <c r="M48" s="10"/>
    </row>
    <row r="49" spans="1:13" ht="15.5">
      <c r="A49" s="10">
        <v>45</v>
      </c>
      <c r="B49" s="10">
        <v>45</v>
      </c>
      <c r="C49" s="921" t="s">
        <v>470</v>
      </c>
      <c r="D49" s="1399" t="s">
        <v>49</v>
      </c>
      <c r="E49" s="10" t="s">
        <v>1840</v>
      </c>
      <c r="F49" s="10" t="s">
        <v>1840</v>
      </c>
      <c r="G49" s="10" t="s">
        <v>1840</v>
      </c>
      <c r="H49" s="10" t="s">
        <v>1840</v>
      </c>
      <c r="I49" s="114">
        <v>46190</v>
      </c>
      <c r="J49" s="10"/>
      <c r="K49" s="10" t="s">
        <v>1008</v>
      </c>
      <c r="L49" s="10"/>
      <c r="M49" s="10"/>
    </row>
    <row r="50" spans="1:13" ht="15.5">
      <c r="A50" s="10">
        <v>46</v>
      </c>
      <c r="B50" s="10">
        <v>46</v>
      </c>
      <c r="C50" s="921" t="s">
        <v>471</v>
      </c>
      <c r="D50" s="1399" t="s">
        <v>49</v>
      </c>
      <c r="E50" s="10"/>
      <c r="F50" s="10"/>
      <c r="G50" s="10"/>
      <c r="H50" s="10"/>
      <c r="I50" s="114"/>
      <c r="J50" s="10"/>
      <c r="K50" s="10"/>
      <c r="L50" s="10"/>
      <c r="M50" s="1134" t="s">
        <v>1839</v>
      </c>
    </row>
  </sheetData>
  <autoFilter ref="A4:M50" xr:uid="{00000000-0001-0000-0D00-000000000000}"/>
  <mergeCells count="3">
    <mergeCell ref="A1:M1"/>
    <mergeCell ref="A2:M2"/>
    <mergeCell ref="A3:L3"/>
  </mergeCells>
  <conditionalFormatting sqref="C1:C4 C51:C65536">
    <cfRule type="expression" dxfId="83" priority="211" stopIfTrue="1">
      <formula>AND(COUNTIF($C$14:$C$65536, C1)+COUNTIF($C$1:$C$12, C1)&gt;1,NOT(ISBLANK(C1)))</formula>
    </cfRule>
  </conditionalFormatting>
  <conditionalFormatting sqref="C1:C4 C51:C1048576">
    <cfRule type="duplicateValues" dxfId="82" priority="205"/>
  </conditionalFormatting>
  <conditionalFormatting sqref="C5:C18">
    <cfRule type="duplicateValues" dxfId="81" priority="4"/>
    <cfRule type="duplicateValues" dxfId="80" priority="5"/>
    <cfRule type="duplicateValues" dxfId="79" priority="6"/>
    <cfRule type="duplicateValues" dxfId="78" priority="7"/>
  </conditionalFormatting>
  <conditionalFormatting sqref="C5:C50">
    <cfRule type="duplicateValues" dxfId="77" priority="1"/>
    <cfRule type="duplicateValues" dxfId="76" priority="2"/>
    <cfRule type="duplicateValues" dxfId="75" priority="3"/>
  </conditionalFormatting>
  <conditionalFormatting sqref="C51:C65536">
    <cfRule type="duplicateValues" dxfId="74" priority="81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5"/>
  <sheetViews>
    <sheetView topLeftCell="A13" workbookViewId="0">
      <selection activeCell="F21" sqref="F21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28" t="str">
        <f>Stringing!A1</f>
        <v>KEC International Limited</v>
      </c>
      <c r="C2" s="1629"/>
      <c r="D2" s="1629"/>
      <c r="E2" s="1629"/>
      <c r="F2" s="1629"/>
      <c r="G2" s="1629"/>
      <c r="H2" s="1629"/>
      <c r="I2" s="1629"/>
      <c r="J2" s="1629"/>
      <c r="K2" s="1629"/>
      <c r="L2" s="1629"/>
      <c r="M2" s="1630"/>
      <c r="N2" s="1171"/>
    </row>
    <row r="3" spans="2:14" ht="16" thickBot="1">
      <c r="B3" s="1628" t="str">
        <f>Stringing!A2</f>
        <v xml:space="preserve"> TA413 : 765 KV D/C Bikaner III - Neemrana II TL02</v>
      </c>
      <c r="C3" s="1629"/>
      <c r="D3" s="1629"/>
      <c r="E3" s="1629"/>
      <c r="F3" s="1629"/>
      <c r="G3" s="1629"/>
      <c r="H3" s="1629"/>
      <c r="I3" s="1629"/>
      <c r="J3" s="1629"/>
      <c r="K3" s="1629"/>
      <c r="L3" s="1629"/>
      <c r="M3" s="1629"/>
      <c r="N3" s="1630"/>
    </row>
    <row r="4" spans="2:14" ht="16" thickBot="1">
      <c r="B4" s="1631" t="s">
        <v>108</v>
      </c>
      <c r="C4" s="1632"/>
      <c r="D4" s="1632"/>
      <c r="E4" s="1632"/>
      <c r="F4" s="1632"/>
      <c r="G4" s="1632"/>
      <c r="H4" s="1632"/>
      <c r="I4" s="1632"/>
      <c r="J4" s="1632"/>
      <c r="K4" s="1632"/>
      <c r="L4" s="1632"/>
      <c r="M4" s="1167"/>
      <c r="N4" s="1168" t="str">
        <f>TA413_PBNTL!M1</f>
        <v>26.06.2026</v>
      </c>
    </row>
    <row r="5" spans="2:14" ht="15.65" customHeight="1">
      <c r="B5" s="1633" t="s">
        <v>109</v>
      </c>
      <c r="C5" s="1634" t="s">
        <v>110</v>
      </c>
      <c r="D5" s="1636" t="s">
        <v>94</v>
      </c>
      <c r="E5" s="1637"/>
      <c r="F5" s="1637"/>
      <c r="G5" s="1637"/>
      <c r="H5" s="1638"/>
      <c r="I5" s="1639" t="s">
        <v>102</v>
      </c>
      <c r="J5" s="1639" t="s">
        <v>103</v>
      </c>
      <c r="K5" s="1639" t="s">
        <v>1647</v>
      </c>
      <c r="L5" s="1640" t="s">
        <v>87</v>
      </c>
      <c r="M5" s="1641" t="s">
        <v>1</v>
      </c>
      <c r="N5" s="1626" t="s">
        <v>1644</v>
      </c>
    </row>
    <row r="6" spans="2:14" ht="40" customHeight="1" thickBot="1">
      <c r="B6" s="1633"/>
      <c r="C6" s="1635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39"/>
      <c r="J6" s="1639"/>
      <c r="K6" s="1639"/>
      <c r="L6" s="1640"/>
      <c r="M6" s="1641"/>
      <c r="N6" s="1627"/>
    </row>
    <row r="7" spans="2:14" ht="24.5" customHeight="1">
      <c r="B7" s="27">
        <v>1</v>
      </c>
      <c r="C7" s="28">
        <v>1</v>
      </c>
      <c r="D7" s="57" t="s">
        <v>166</v>
      </c>
      <c r="E7" s="1218" t="s">
        <v>588</v>
      </c>
      <c r="F7" s="28">
        <v>4.5469999999999997</v>
      </c>
      <c r="G7" s="965">
        <v>4.7190000000000003</v>
      </c>
      <c r="H7" s="28">
        <f>F7</f>
        <v>4.5469999999999997</v>
      </c>
      <c r="I7" s="1169">
        <v>45766</v>
      </c>
      <c r="J7" s="1169">
        <v>45766</v>
      </c>
      <c r="K7" s="1169">
        <v>45766</v>
      </c>
      <c r="L7" s="28" t="s">
        <v>1439</v>
      </c>
      <c r="M7" s="1170" t="s">
        <v>964</v>
      </c>
      <c r="N7" s="1302"/>
    </row>
    <row r="8" spans="2:14" ht="24.5" customHeight="1">
      <c r="B8" s="4">
        <v>2</v>
      </c>
      <c r="C8" s="3">
        <v>2</v>
      </c>
      <c r="D8" s="1032" t="s">
        <v>777</v>
      </c>
      <c r="E8" s="1032" t="s">
        <v>613</v>
      </c>
      <c r="F8" s="3">
        <v>4.4550000000000001</v>
      </c>
      <c r="G8" s="29">
        <v>4.6660000000000004</v>
      </c>
      <c r="H8" s="3">
        <f t="shared" ref="H8:H21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77" t="s">
        <v>964</v>
      </c>
      <c r="N8" s="1140"/>
    </row>
    <row r="9" spans="2:14" ht="24.5" customHeight="1">
      <c r="B9" s="4">
        <v>3</v>
      </c>
      <c r="C9" s="3">
        <v>3</v>
      </c>
      <c r="D9" s="1032" t="s">
        <v>613</v>
      </c>
      <c r="E9" s="669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77" t="s">
        <v>964</v>
      </c>
      <c r="N9" s="1140"/>
    </row>
    <row r="10" spans="2:14" ht="24.5" customHeight="1">
      <c r="B10" s="14">
        <v>4</v>
      </c>
      <c r="C10" s="10">
        <v>4</v>
      </c>
      <c r="D10" s="1032" t="s">
        <v>493</v>
      </c>
      <c r="E10" s="117" t="s">
        <v>397</v>
      </c>
      <c r="F10" s="115">
        <v>4.5999999999999996</v>
      </c>
      <c r="G10" s="115">
        <v>5</v>
      </c>
      <c r="H10" s="10">
        <f t="shared" si="0"/>
        <v>18.211999999999996</v>
      </c>
      <c r="I10" s="114">
        <v>45954</v>
      </c>
      <c r="J10" s="114">
        <v>45955</v>
      </c>
      <c r="K10" s="114">
        <v>45956</v>
      </c>
      <c r="L10" s="10" t="s">
        <v>1439</v>
      </c>
      <c r="M10" s="1134" t="s">
        <v>964</v>
      </c>
      <c r="N10" s="1140" t="s">
        <v>1650</v>
      </c>
    </row>
    <row r="11" spans="2:14" ht="24.5" customHeight="1">
      <c r="B11" s="4">
        <v>5</v>
      </c>
      <c r="C11" s="3">
        <v>1</v>
      </c>
      <c r="D11" s="1032" t="s">
        <v>474</v>
      </c>
      <c r="E11" s="1160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34" t="s">
        <v>964</v>
      </c>
      <c r="N11" s="1140"/>
    </row>
    <row r="12" spans="2:14" s="13" customFormat="1" ht="29" customHeight="1">
      <c r="B12" s="14">
        <v>6</v>
      </c>
      <c r="C12" s="10">
        <v>2</v>
      </c>
      <c r="D12" s="669" t="s">
        <v>466</v>
      </c>
      <c r="E12" s="669" t="s">
        <v>474</v>
      </c>
      <c r="F12" s="10">
        <f>4775/1000</f>
        <v>4.7750000000000004</v>
      </c>
      <c r="G12" s="115">
        <f>5000/1000</f>
        <v>5</v>
      </c>
      <c r="H12" s="10">
        <f t="shared" si="0"/>
        <v>27.491999999999997</v>
      </c>
      <c r="I12" s="114">
        <v>46031</v>
      </c>
      <c r="J12" s="114">
        <v>46034</v>
      </c>
      <c r="K12" s="114">
        <v>46035</v>
      </c>
      <c r="L12" s="10" t="s">
        <v>1439</v>
      </c>
      <c r="M12" s="1134" t="s">
        <v>964</v>
      </c>
      <c r="N12" s="1233" t="s">
        <v>1652</v>
      </c>
    </row>
    <row r="13" spans="2:14" ht="24.5" customHeight="1">
      <c r="B13" s="14">
        <v>7</v>
      </c>
      <c r="C13" s="10">
        <v>3</v>
      </c>
      <c r="D13" s="1032" t="s">
        <v>895</v>
      </c>
      <c r="E13" s="117" t="s">
        <v>466</v>
      </c>
      <c r="F13" s="115">
        <f>4665/1000</f>
        <v>4.665</v>
      </c>
      <c r="G13" s="115">
        <f>5000/1000</f>
        <v>5</v>
      </c>
      <c r="H13" s="10">
        <f t="shared" si="0"/>
        <v>32.156999999999996</v>
      </c>
      <c r="I13" s="114">
        <v>46036</v>
      </c>
      <c r="J13" s="114">
        <v>46038</v>
      </c>
      <c r="K13" s="114">
        <v>46039</v>
      </c>
      <c r="L13" s="10" t="s">
        <v>1439</v>
      </c>
      <c r="M13" s="1134" t="s">
        <v>964</v>
      </c>
      <c r="N13" s="1140"/>
    </row>
    <row r="14" spans="2:14" ht="24.5" customHeight="1">
      <c r="B14" s="14">
        <v>8</v>
      </c>
      <c r="C14" s="10">
        <v>4</v>
      </c>
      <c r="D14" s="1032" t="s">
        <v>1262</v>
      </c>
      <c r="E14" s="117" t="s">
        <v>895</v>
      </c>
      <c r="F14" s="115">
        <f>4645.7/1000</f>
        <v>4.6456999999999997</v>
      </c>
      <c r="G14" s="115">
        <f>5000/1000</f>
        <v>5</v>
      </c>
      <c r="H14" s="10">
        <f t="shared" si="0"/>
        <v>36.802699999999994</v>
      </c>
      <c r="I14" s="114">
        <v>46040</v>
      </c>
      <c r="J14" s="114">
        <v>46041</v>
      </c>
      <c r="K14" s="114">
        <v>46043</v>
      </c>
      <c r="L14" s="10" t="s">
        <v>1439</v>
      </c>
      <c r="M14" s="1134" t="s">
        <v>964</v>
      </c>
      <c r="N14" s="1140" t="s">
        <v>1684</v>
      </c>
    </row>
    <row r="15" spans="2:14" ht="24.5" customHeight="1">
      <c r="B15" s="14">
        <v>9</v>
      </c>
      <c r="C15" s="10">
        <v>1</v>
      </c>
      <c r="D15" s="1032" t="s">
        <v>776</v>
      </c>
      <c r="E15" s="117" t="s">
        <v>166</v>
      </c>
      <c r="F15" s="115">
        <f>4488.203/1000</f>
        <v>4.4882030000000004</v>
      </c>
      <c r="G15" s="115">
        <v>4.7089999999999996</v>
      </c>
      <c r="H15" s="10">
        <f t="shared" si="0"/>
        <v>41.290902999999993</v>
      </c>
      <c r="I15" s="114">
        <v>46062</v>
      </c>
      <c r="J15" s="114">
        <v>46062</v>
      </c>
      <c r="K15" s="114">
        <v>46062</v>
      </c>
      <c r="L15" s="10" t="s">
        <v>1439</v>
      </c>
      <c r="M15" s="1134" t="s">
        <v>964</v>
      </c>
      <c r="N15" s="1140" t="s">
        <v>1645</v>
      </c>
    </row>
    <row r="16" spans="2:14" ht="24.5" customHeight="1">
      <c r="B16" s="14">
        <v>10</v>
      </c>
      <c r="C16" s="10">
        <v>2</v>
      </c>
      <c r="D16" s="1032" t="s">
        <v>451</v>
      </c>
      <c r="E16" s="117" t="s">
        <v>776</v>
      </c>
      <c r="F16" s="115">
        <v>4.4470000000000001</v>
      </c>
      <c r="G16" s="115">
        <v>4.665</v>
      </c>
      <c r="H16" s="10">
        <f t="shared" si="0"/>
        <v>45.737902999999996</v>
      </c>
      <c r="I16" s="114">
        <v>46064</v>
      </c>
      <c r="J16" s="114">
        <v>46065</v>
      </c>
      <c r="K16" s="114">
        <f>J16+1</f>
        <v>46066</v>
      </c>
      <c r="L16" s="10" t="s">
        <v>1439</v>
      </c>
      <c r="M16" s="1134" t="s">
        <v>964</v>
      </c>
      <c r="N16" s="1140" t="s">
        <v>1646</v>
      </c>
    </row>
    <row r="17" spans="2:14" ht="24.5" customHeight="1">
      <c r="B17" s="14">
        <v>11</v>
      </c>
      <c r="C17" s="10">
        <v>3</v>
      </c>
      <c r="D17" s="1032" t="s">
        <v>443</v>
      </c>
      <c r="E17" s="117" t="s">
        <v>451</v>
      </c>
      <c r="F17" s="115">
        <f>4740/1000</f>
        <v>4.74</v>
      </c>
      <c r="G17" s="115">
        <f>5000/1000</f>
        <v>5</v>
      </c>
      <c r="H17" s="10">
        <f t="shared" si="0"/>
        <v>50.477902999999998</v>
      </c>
      <c r="I17" s="114">
        <v>46067</v>
      </c>
      <c r="J17" s="114">
        <f>I17+1</f>
        <v>46068</v>
      </c>
      <c r="K17" s="114">
        <f>J17+1</f>
        <v>46069</v>
      </c>
      <c r="L17" s="10" t="s">
        <v>1439</v>
      </c>
      <c r="M17" s="1134" t="s">
        <v>964</v>
      </c>
      <c r="N17" s="1140" t="s">
        <v>1649</v>
      </c>
    </row>
    <row r="18" spans="2:14" ht="24.5" customHeight="1">
      <c r="B18" s="14">
        <v>12</v>
      </c>
      <c r="C18" s="10">
        <v>4</v>
      </c>
      <c r="D18" s="1032" t="s">
        <v>903</v>
      </c>
      <c r="E18" s="117" t="s">
        <v>443</v>
      </c>
      <c r="F18" s="115">
        <f>4450.001/1000</f>
        <v>4.4500010000000003</v>
      </c>
      <c r="G18" s="115">
        <f>4669/1000</f>
        <v>4.6689999999999996</v>
      </c>
      <c r="H18" s="10">
        <f t="shared" si="0"/>
        <v>54.927903999999998</v>
      </c>
      <c r="I18" s="114">
        <v>46069</v>
      </c>
      <c r="J18" s="114">
        <v>46070</v>
      </c>
      <c r="K18" s="114">
        <v>46071</v>
      </c>
      <c r="L18" s="10" t="s">
        <v>1439</v>
      </c>
      <c r="M18" s="1134" t="s">
        <v>964</v>
      </c>
      <c r="N18" s="1140"/>
    </row>
    <row r="19" spans="2:14" ht="24.5" customHeight="1">
      <c r="B19" s="14">
        <v>13</v>
      </c>
      <c r="C19" s="10">
        <v>5</v>
      </c>
      <c r="D19" s="1032" t="s">
        <v>1648</v>
      </c>
      <c r="E19" s="117" t="s">
        <v>1262</v>
      </c>
      <c r="F19" s="115">
        <f>4834.216/1000</f>
        <v>4.8342160000000005</v>
      </c>
      <c r="G19" s="115">
        <v>5</v>
      </c>
      <c r="H19" s="10">
        <f t="shared" si="0"/>
        <v>59.762119999999996</v>
      </c>
      <c r="I19" s="114">
        <v>46073</v>
      </c>
      <c r="J19" s="114">
        <v>46074</v>
      </c>
      <c r="K19" s="114">
        <v>46075</v>
      </c>
      <c r="L19" s="10" t="s">
        <v>1439</v>
      </c>
      <c r="M19" s="1134" t="s">
        <v>964</v>
      </c>
      <c r="N19" s="1140" t="s">
        <v>1683</v>
      </c>
    </row>
    <row r="20" spans="2:14" ht="24.5" customHeight="1">
      <c r="B20" s="1419">
        <v>14</v>
      </c>
      <c r="C20" s="1284">
        <v>1</v>
      </c>
      <c r="D20" s="1420" t="s">
        <v>371</v>
      </c>
      <c r="E20" s="1421" t="s">
        <v>267</v>
      </c>
      <c r="F20" s="1422">
        <v>4.4980000000000002</v>
      </c>
      <c r="G20" s="1422">
        <f>4632/1000</f>
        <v>4.6319999999999997</v>
      </c>
      <c r="H20" s="10">
        <f t="shared" si="0"/>
        <v>64.260120000000001</v>
      </c>
      <c r="I20" s="1289">
        <v>46197</v>
      </c>
      <c r="J20" s="1289">
        <v>46197</v>
      </c>
      <c r="K20" s="1289">
        <v>46198</v>
      </c>
      <c r="L20" s="10" t="s">
        <v>1439</v>
      </c>
      <c r="M20" s="1423" t="s">
        <v>964</v>
      </c>
      <c r="N20" s="1424"/>
    </row>
    <row r="21" spans="2:14" ht="24.5" customHeight="1">
      <c r="B21" s="1410">
        <v>15</v>
      </c>
      <c r="C21" s="1405">
        <v>2</v>
      </c>
      <c r="D21" s="1411" t="s">
        <v>397</v>
      </c>
      <c r="E21" s="1412" t="s">
        <v>371</v>
      </c>
      <c r="F21" s="1406">
        <v>4.8</v>
      </c>
      <c r="G21" s="1276">
        <v>5</v>
      </c>
      <c r="H21" s="177">
        <f t="shared" si="0"/>
        <v>69.060119999999998</v>
      </c>
      <c r="I21" s="1413"/>
      <c r="J21" s="1413"/>
      <c r="K21" s="1413"/>
      <c r="L21" s="177" t="s">
        <v>1439</v>
      </c>
      <c r="M21" s="1414" t="s">
        <v>311</v>
      </c>
      <c r="N21" s="1415"/>
    </row>
    <row r="22" spans="2:14" ht="24.5" customHeight="1">
      <c r="B22" s="1419"/>
      <c r="C22" s="1284"/>
      <c r="D22" s="1420"/>
      <c r="E22" s="1421"/>
      <c r="F22" s="1422"/>
      <c r="G22" s="1422"/>
      <c r="H22" s="1284"/>
      <c r="I22" s="1289"/>
      <c r="J22" s="1289"/>
      <c r="K22" s="1289"/>
      <c r="L22" s="1284"/>
      <c r="M22" s="1423"/>
      <c r="N22" s="1424"/>
    </row>
    <row r="23" spans="2:14" s="13" customFormat="1" ht="21" customHeight="1" thickBot="1">
      <c r="B23" s="19"/>
      <c r="C23" s="17"/>
      <c r="D23" s="1174"/>
      <c r="E23" s="1174"/>
      <c r="F23" s="1175"/>
      <c r="G23" s="1176"/>
      <c r="H23" s="1176"/>
      <c r="I23" s="1177"/>
      <c r="J23" s="1177"/>
      <c r="K23" s="1177"/>
      <c r="L23" s="17"/>
      <c r="M23" s="17"/>
      <c r="N23" s="1178"/>
    </row>
    <row r="25" spans="2:14">
      <c r="F25" s="180">
        <f>+SUM(F7:F23)</f>
        <v>69.060119999999998</v>
      </c>
      <c r="G25" s="180">
        <f>+SUM(G7:G23)</f>
        <v>72.783000000000001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2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2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42" t="s">
        <v>120</v>
      </c>
      <c r="B1" s="1643"/>
      <c r="C1" s="1643"/>
      <c r="D1" s="1643"/>
      <c r="E1" s="1643"/>
      <c r="F1" s="1643"/>
      <c r="G1" s="1643"/>
      <c r="H1" s="1643"/>
      <c r="I1" s="1643"/>
      <c r="J1" s="1643"/>
      <c r="K1" s="1643"/>
      <c r="L1" s="1643"/>
      <c r="M1" s="1643"/>
      <c r="N1" s="1643"/>
      <c r="O1" s="1643"/>
      <c r="P1" s="1643"/>
      <c r="Q1" s="1644"/>
    </row>
    <row r="2" spans="1:18" s="2" customFormat="1" ht="15.5">
      <c r="A2" s="1645" t="str">
        <f>TA413_PBNTL!A1</f>
        <v xml:space="preserve"> TA413 : 765 KV D/C Bikaner III - Neemrana II TL02</v>
      </c>
      <c r="B2" s="1646"/>
      <c r="C2" s="1646"/>
      <c r="D2" s="1646"/>
      <c r="E2" s="1646"/>
      <c r="F2" s="1646"/>
      <c r="G2" s="1646"/>
      <c r="H2" s="1646"/>
      <c r="I2" s="1646"/>
      <c r="J2" s="1646"/>
      <c r="K2" s="1646"/>
      <c r="L2" s="1646"/>
      <c r="M2" s="1646"/>
      <c r="N2" s="1646"/>
      <c r="O2" s="1646"/>
      <c r="P2" s="1646"/>
      <c r="Q2" s="1647"/>
    </row>
    <row r="3" spans="1:18" s="2" customFormat="1" ht="16" thickBot="1">
      <c r="A3" s="676" t="s">
        <v>106</v>
      </c>
      <c r="B3" s="174"/>
      <c r="C3" s="174"/>
      <c r="D3" s="174"/>
      <c r="E3" s="174"/>
      <c r="F3" s="174"/>
      <c r="G3" s="174"/>
      <c r="H3" s="174"/>
      <c r="I3" s="1035">
        <f>SUBTOTAL(9,I5:I317)</f>
        <v>109701.66499999948</v>
      </c>
      <c r="J3" s="1035">
        <f t="shared" ref="J3:N3" si="0">SUBTOTAL(9,J5:J317)</f>
        <v>1387.5899999999997</v>
      </c>
      <c r="K3" s="1035">
        <f t="shared" si="0"/>
        <v>15180.039999999968</v>
      </c>
      <c r="L3" s="1035">
        <f>SUBTOTAL(9,L5:L320)</f>
        <v>855.22239999999954</v>
      </c>
      <c r="M3" s="1035">
        <f t="shared" si="0"/>
        <v>349.77888200000069</v>
      </c>
      <c r="N3" s="1035">
        <f t="shared" si="0"/>
        <v>2969.6999999999994</v>
      </c>
      <c r="O3" s="175"/>
      <c r="P3" s="153"/>
      <c r="Q3" s="312" t="str">
        <f>TA413_PBNTL!M1</f>
        <v>26.06.2026</v>
      </c>
    </row>
    <row r="4" spans="1:18" s="2" customFormat="1" ht="29.5" thickBot="1">
      <c r="A4" s="50" t="s">
        <v>41</v>
      </c>
      <c r="B4" s="51" t="s">
        <v>42</v>
      </c>
      <c r="C4" s="978" t="s">
        <v>43</v>
      </c>
      <c r="D4" s="51" t="s">
        <v>44</v>
      </c>
      <c r="E4" s="51" t="s">
        <v>45</v>
      </c>
      <c r="F4" s="979" t="s">
        <v>46</v>
      </c>
      <c r="G4" s="979" t="s">
        <v>47</v>
      </c>
      <c r="H4" s="51" t="s">
        <v>87</v>
      </c>
      <c r="I4" s="51" t="s">
        <v>29</v>
      </c>
      <c r="J4" s="51" t="s">
        <v>281</v>
      </c>
      <c r="K4" s="51" t="s">
        <v>282</v>
      </c>
      <c r="L4" s="51" t="s">
        <v>100</v>
      </c>
      <c r="M4" s="51" t="s">
        <v>273</v>
      </c>
      <c r="N4" s="51" t="s">
        <v>666</v>
      </c>
      <c r="O4" s="51" t="s">
        <v>48</v>
      </c>
      <c r="P4" s="51" t="s">
        <v>669</v>
      </c>
      <c r="Q4" s="55" t="s">
        <v>1</v>
      </c>
    </row>
    <row r="5" spans="1:18" ht="21.75" customHeight="1">
      <c r="A5" s="56">
        <f>SUBTOTAL(103,$C$5:C5)</f>
        <v>1</v>
      </c>
      <c r="B5" s="57">
        <v>1</v>
      </c>
      <c r="C5" s="980" t="s">
        <v>370</v>
      </c>
      <c r="D5" s="981" t="str">
        <f>VLOOKUP(C5,'Location Summary'!$C$4:$D$603,2,0)</f>
        <v>DA+6</v>
      </c>
      <c r="E5" s="981" t="s">
        <v>405</v>
      </c>
      <c r="F5" s="982">
        <v>45441</v>
      </c>
      <c r="G5" s="982">
        <v>45449</v>
      </c>
      <c r="H5" s="983" t="s">
        <v>504</v>
      </c>
      <c r="I5" s="981">
        <f t="shared" ref="I5:I36" si="1">VLOOKUP($D5,$D$323:$M$362,6,FALSE)</f>
        <v>289.83999999999997</v>
      </c>
      <c r="J5" s="57">
        <f t="shared" ref="J5:J36" si="2">VLOOKUP($D5,$D$323:$M$362,7,FALSE)</f>
        <v>3.61</v>
      </c>
      <c r="K5" s="57">
        <f t="shared" ref="K5:K36" si="3">VLOOKUP($D5,$D$323:$M$362,8,FALSE)</f>
        <v>37.299999999999997</v>
      </c>
      <c r="L5" s="57">
        <f t="shared" ref="L5:L36" si="4">VLOOKUP($D5,$D$323:$M$362,9,FALSE)</f>
        <v>2.093</v>
      </c>
      <c r="M5" s="57">
        <f t="shared" ref="M5:M36" si="5">VLOOKUP($D5,$D$323:$M$362,10,FALSE)</f>
        <v>0.86599999999999999</v>
      </c>
      <c r="N5" s="984">
        <f t="shared" ref="N5:N36" si="6">ROUND((I5*230.35+J5*10150.5+K5*11591.45+L5*93958.18+M5*7677.44)/10^5,2)</f>
        <v>7.39</v>
      </c>
      <c r="O5" s="985" t="s">
        <v>661</v>
      </c>
      <c r="P5" s="986" t="s">
        <v>670</v>
      </c>
      <c r="Q5" s="987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7" t="s">
        <v>413</v>
      </c>
      <c r="D6" s="65" t="str">
        <f>VLOOKUP(C6,'Location Summary'!$C$4:$D$603,2,0)</f>
        <v>DA+3</v>
      </c>
      <c r="E6" s="65" t="s">
        <v>405</v>
      </c>
      <c r="F6" s="110">
        <v>45442</v>
      </c>
      <c r="G6" s="110">
        <v>45450</v>
      </c>
      <c r="H6" s="63" t="s">
        <v>505</v>
      </c>
      <c r="I6" s="773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1">
        <f t="shared" si="6"/>
        <v>7.39</v>
      </c>
      <c r="O6" s="115" t="s">
        <v>453</v>
      </c>
      <c r="P6" s="557" t="s">
        <v>670</v>
      </c>
      <c r="Q6" s="988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7" t="s">
        <v>414</v>
      </c>
      <c r="D7" s="65" t="str">
        <f>VLOOKUP(C7,'Location Summary'!$C$4:$D$603,2,0)</f>
        <v>DA+3</v>
      </c>
      <c r="E7" s="65" t="s">
        <v>405</v>
      </c>
      <c r="F7" s="110">
        <v>45450</v>
      </c>
      <c r="G7" s="110">
        <v>45452</v>
      </c>
      <c r="H7" s="63" t="s">
        <v>505</v>
      </c>
      <c r="I7" s="65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1">
        <f t="shared" si="6"/>
        <v>7.39</v>
      </c>
      <c r="O7" s="115" t="s">
        <v>453</v>
      </c>
      <c r="P7" s="557" t="s">
        <v>670</v>
      </c>
      <c r="Q7" s="988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7" t="s">
        <v>412</v>
      </c>
      <c r="D8" s="65" t="str">
        <f>VLOOKUP(C8,'Location Summary'!$C$4:$D$603,2,0)</f>
        <v>DA+3</v>
      </c>
      <c r="E8" s="65" t="s">
        <v>405</v>
      </c>
      <c r="F8" s="110">
        <v>45452</v>
      </c>
      <c r="G8" s="110">
        <v>45454</v>
      </c>
      <c r="H8" s="63" t="s">
        <v>505</v>
      </c>
      <c r="I8" s="65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1">
        <f t="shared" si="6"/>
        <v>7.39</v>
      </c>
      <c r="O8" s="115" t="s">
        <v>453</v>
      </c>
      <c r="P8" s="557" t="s">
        <v>670</v>
      </c>
      <c r="Q8" s="988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7" t="s">
        <v>371</v>
      </c>
      <c r="D9" s="65" t="str">
        <f>VLOOKUP(C9,'Location Summary'!$C$4:$D$603,2,0)</f>
        <v>DA+3</v>
      </c>
      <c r="E9" s="65" t="s">
        <v>405</v>
      </c>
      <c r="F9" s="110">
        <v>45455</v>
      </c>
      <c r="G9" s="110">
        <v>45460</v>
      </c>
      <c r="H9" s="63" t="s">
        <v>504</v>
      </c>
      <c r="I9" s="65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1">
        <f t="shared" si="6"/>
        <v>7.39</v>
      </c>
      <c r="O9" s="115" t="s">
        <v>661</v>
      </c>
      <c r="P9" s="557" t="s">
        <v>680</v>
      </c>
      <c r="Q9" s="988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7" t="s">
        <v>415</v>
      </c>
      <c r="D10" s="65" t="str">
        <f>VLOOKUP(C10,'Location Summary'!$C$4:$D$603,2,0)</f>
        <v>DA+3</v>
      </c>
      <c r="E10" s="65" t="s">
        <v>405</v>
      </c>
      <c r="F10" s="110">
        <v>45456</v>
      </c>
      <c r="G10" s="110">
        <v>45460</v>
      </c>
      <c r="H10" s="63" t="s">
        <v>505</v>
      </c>
      <c r="I10" s="65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1">
        <f t="shared" si="6"/>
        <v>7.39</v>
      </c>
      <c r="O10" s="115" t="s">
        <v>453</v>
      </c>
      <c r="P10" s="557" t="s">
        <v>680</v>
      </c>
      <c r="Q10" s="988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7" t="s">
        <v>416</v>
      </c>
      <c r="D11" s="65" t="str">
        <f>VLOOKUP(C11,'Location Summary'!$C$4:$D$603,2,0)</f>
        <v>DA+3</v>
      </c>
      <c r="E11" s="65" t="s">
        <v>405</v>
      </c>
      <c r="F11" s="110">
        <v>45459</v>
      </c>
      <c r="G11" s="110">
        <v>45461</v>
      </c>
      <c r="H11" s="63" t="s">
        <v>505</v>
      </c>
      <c r="I11" s="65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1">
        <f t="shared" si="6"/>
        <v>7.39</v>
      </c>
      <c r="O11" s="115" t="s">
        <v>453</v>
      </c>
      <c r="P11" s="557" t="s">
        <v>680</v>
      </c>
      <c r="Q11" s="988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7" t="s">
        <v>417</v>
      </c>
      <c r="D12" s="65" t="str">
        <f>VLOOKUP(C12,'Location Summary'!$C$4:$D$603,2,0)</f>
        <v>DA+6</v>
      </c>
      <c r="E12" s="65" t="s">
        <v>405</v>
      </c>
      <c r="F12" s="110">
        <v>45461</v>
      </c>
      <c r="G12" s="110">
        <v>45464</v>
      </c>
      <c r="H12" s="63" t="s">
        <v>505</v>
      </c>
      <c r="I12" s="65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1">
        <f t="shared" si="6"/>
        <v>7.39</v>
      </c>
      <c r="O12" s="115" t="s">
        <v>453</v>
      </c>
      <c r="P12" s="557" t="s">
        <v>680</v>
      </c>
      <c r="Q12" s="988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7" t="s">
        <v>407</v>
      </c>
      <c r="D13" s="65" t="str">
        <f>VLOOKUP(C13,'Location Summary'!$C$4:$D$603,2,0)</f>
        <v>DA+0</v>
      </c>
      <c r="E13" s="65" t="s">
        <v>405</v>
      </c>
      <c r="F13" s="110">
        <v>45461</v>
      </c>
      <c r="G13" s="110">
        <v>45466</v>
      </c>
      <c r="H13" s="63" t="s">
        <v>504</v>
      </c>
      <c r="I13" s="65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1">
        <f t="shared" si="6"/>
        <v>6.49</v>
      </c>
      <c r="O13" s="115" t="s">
        <v>661</v>
      </c>
      <c r="P13" s="557" t="s">
        <v>680</v>
      </c>
      <c r="Q13" s="988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7" t="s">
        <v>418</v>
      </c>
      <c r="D14" s="65" t="str">
        <f>VLOOKUP(C14,'Location Summary'!$C$4:$D$603,2,0)</f>
        <v>DA+3</v>
      </c>
      <c r="E14" s="65" t="s">
        <v>405</v>
      </c>
      <c r="F14" s="110">
        <v>45464</v>
      </c>
      <c r="G14" s="110">
        <v>45467</v>
      </c>
      <c r="H14" s="63" t="s">
        <v>505</v>
      </c>
      <c r="I14" s="65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1">
        <f t="shared" si="6"/>
        <v>7.39</v>
      </c>
      <c r="O14" s="115" t="s">
        <v>453</v>
      </c>
      <c r="P14" s="557" t="s">
        <v>680</v>
      </c>
      <c r="Q14" s="988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7" t="s">
        <v>396</v>
      </c>
      <c r="D15" s="65" t="str">
        <f>VLOOKUP(C15,'Location Summary'!$C$4:$D$603,2,0)</f>
        <v>DA+9</v>
      </c>
      <c r="E15" s="65" t="s">
        <v>405</v>
      </c>
      <c r="F15" s="110">
        <v>45460</v>
      </c>
      <c r="G15" s="110">
        <v>45469</v>
      </c>
      <c r="H15" s="63" t="s">
        <v>695</v>
      </c>
      <c r="I15" s="65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1">
        <f t="shared" si="6"/>
        <v>7.39</v>
      </c>
      <c r="O15" s="115" t="s">
        <v>662</v>
      </c>
      <c r="P15" s="557" t="s">
        <v>680</v>
      </c>
      <c r="Q15" s="988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7" t="s">
        <v>419</v>
      </c>
      <c r="D16" s="65" t="str">
        <f>VLOOKUP(C16,'Location Summary'!$C$4:$D$603,2,0)</f>
        <v>DA+9</v>
      </c>
      <c r="E16" s="65" t="s">
        <v>405</v>
      </c>
      <c r="F16" s="110">
        <v>45467</v>
      </c>
      <c r="G16" s="110">
        <v>45470</v>
      </c>
      <c r="H16" s="63" t="s">
        <v>505</v>
      </c>
      <c r="I16" s="65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1">
        <f t="shared" si="6"/>
        <v>7.39</v>
      </c>
      <c r="O16" s="115" t="s">
        <v>453</v>
      </c>
      <c r="P16" s="557" t="s">
        <v>680</v>
      </c>
      <c r="Q16" s="988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7" t="s">
        <v>411</v>
      </c>
      <c r="D17" s="65" t="str">
        <f>VLOOKUP(C17,'Location Summary'!$C$4:$D$603,2,0)</f>
        <v>DA+3</v>
      </c>
      <c r="E17" s="65" t="s">
        <v>405</v>
      </c>
      <c r="F17" s="110">
        <v>45466</v>
      </c>
      <c r="G17" s="110">
        <v>45471</v>
      </c>
      <c r="H17" s="63" t="s">
        <v>694</v>
      </c>
      <c r="I17" s="65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1">
        <f t="shared" si="6"/>
        <v>7.39</v>
      </c>
      <c r="O17" s="115" t="s">
        <v>662</v>
      </c>
      <c r="P17" s="557" t="s">
        <v>680</v>
      </c>
      <c r="Q17" s="988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7" t="s">
        <v>406</v>
      </c>
      <c r="D18" s="65" t="str">
        <f>VLOOKUP(C18,'Location Summary'!$C$4:$D$603,2,0)</f>
        <v>DA+3</v>
      </c>
      <c r="E18" s="65" t="s">
        <v>405</v>
      </c>
      <c r="F18" s="110">
        <v>45468</v>
      </c>
      <c r="G18" s="110">
        <v>45472</v>
      </c>
      <c r="H18" s="63" t="s">
        <v>504</v>
      </c>
      <c r="I18" s="65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1">
        <f t="shared" si="6"/>
        <v>7.39</v>
      </c>
      <c r="O18" s="115" t="s">
        <v>661</v>
      </c>
      <c r="P18" s="557" t="s">
        <v>680</v>
      </c>
      <c r="Q18" s="988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7" t="s">
        <v>422</v>
      </c>
      <c r="D19" s="65" t="str">
        <f>VLOOKUP(C19,'Location Summary'!$C$4:$D$603,2,0)</f>
        <v>DA+0</v>
      </c>
      <c r="E19" s="65" t="s">
        <v>405</v>
      </c>
      <c r="F19" s="110">
        <v>45470</v>
      </c>
      <c r="G19" s="110">
        <v>45476</v>
      </c>
      <c r="H19" s="63" t="s">
        <v>505</v>
      </c>
      <c r="I19" s="65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1">
        <f t="shared" si="6"/>
        <v>6.49</v>
      </c>
      <c r="O19" s="115" t="s">
        <v>453</v>
      </c>
      <c r="P19" s="557" t="s">
        <v>745</v>
      </c>
      <c r="Q19" s="988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7" t="s">
        <v>397</v>
      </c>
      <c r="D20" s="65" t="str">
        <f>VLOOKUP(C20,'Location Summary'!$C$4:$D$603,2,0)</f>
        <v>DA+3</v>
      </c>
      <c r="E20" s="65" t="s">
        <v>405</v>
      </c>
      <c r="F20" s="110">
        <v>45471</v>
      </c>
      <c r="G20" s="110">
        <v>45476</v>
      </c>
      <c r="H20" s="63" t="s">
        <v>695</v>
      </c>
      <c r="I20" s="65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1">
        <f t="shared" si="6"/>
        <v>7.39</v>
      </c>
      <c r="O20" s="115" t="s">
        <v>662</v>
      </c>
      <c r="P20" s="557" t="s">
        <v>767</v>
      </c>
      <c r="Q20" s="988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7" t="s">
        <v>421</v>
      </c>
      <c r="D21" s="65" t="str">
        <f>VLOOKUP(C21,'Location Summary'!$C$4:$D$603,2,0)</f>
        <v>DA+1.5</v>
      </c>
      <c r="E21" s="65" t="s">
        <v>405</v>
      </c>
      <c r="F21" s="110">
        <v>45476</v>
      </c>
      <c r="G21" s="110">
        <v>45479</v>
      </c>
      <c r="H21" s="63" t="s">
        <v>505</v>
      </c>
      <c r="I21" s="65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1">
        <f t="shared" si="6"/>
        <v>7.39</v>
      </c>
      <c r="O21" s="115" t="s">
        <v>453</v>
      </c>
      <c r="P21" s="557" t="s">
        <v>766</v>
      </c>
      <c r="Q21" s="988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7" t="s">
        <v>451</v>
      </c>
      <c r="D22" s="65" t="str">
        <f>VLOOKUP(C22,'Location Summary'!$C$4:$D$603,2,0)</f>
        <v>DA+1.5</v>
      </c>
      <c r="E22" s="65" t="s">
        <v>405</v>
      </c>
      <c r="F22" s="110">
        <v>45477</v>
      </c>
      <c r="G22" s="110">
        <v>45479</v>
      </c>
      <c r="H22" s="63" t="s">
        <v>694</v>
      </c>
      <c r="I22" s="65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1">
        <f t="shared" si="6"/>
        <v>7.39</v>
      </c>
      <c r="O22" s="115" t="s">
        <v>761</v>
      </c>
      <c r="P22" s="557" t="s">
        <v>768</v>
      </c>
      <c r="Q22" s="988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7" t="s">
        <v>398</v>
      </c>
      <c r="D23" s="65" t="str">
        <f>VLOOKUP(C23,'Location Summary'!$C$4:$D$603,2,0)</f>
        <v>DA+3</v>
      </c>
      <c r="E23" s="65" t="s">
        <v>405</v>
      </c>
      <c r="F23" s="110">
        <v>45477</v>
      </c>
      <c r="G23" s="110">
        <v>45482</v>
      </c>
      <c r="H23" s="63" t="s">
        <v>695</v>
      </c>
      <c r="I23" s="65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1">
        <f t="shared" si="6"/>
        <v>7.39</v>
      </c>
      <c r="O23" s="115" t="s">
        <v>662</v>
      </c>
      <c r="P23" s="557" t="s">
        <v>766</v>
      </c>
      <c r="Q23" s="988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7" t="s">
        <v>404</v>
      </c>
      <c r="D24" s="65" t="str">
        <f>VLOOKUP(C24,'Location Summary'!$C$4:$D$603,2,0)</f>
        <v>DA+3</v>
      </c>
      <c r="E24" s="65" t="s">
        <v>405</v>
      </c>
      <c r="F24" s="110">
        <v>45475</v>
      </c>
      <c r="G24" s="110">
        <v>45483</v>
      </c>
      <c r="H24" s="63" t="s">
        <v>504</v>
      </c>
      <c r="I24" s="65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1">
        <f t="shared" si="6"/>
        <v>7.39</v>
      </c>
      <c r="O24" s="115" t="s">
        <v>661</v>
      </c>
      <c r="P24" s="557" t="s">
        <v>755</v>
      </c>
      <c r="Q24" s="988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7" t="s">
        <v>450</v>
      </c>
      <c r="D25" s="65" t="str">
        <f>VLOOKUP(C25,'Location Summary'!$C$4:$D$603,2,0)</f>
        <v>DA+0</v>
      </c>
      <c r="E25" s="65" t="s">
        <v>405</v>
      </c>
      <c r="F25" s="110">
        <v>45479</v>
      </c>
      <c r="G25" s="110">
        <v>45483</v>
      </c>
      <c r="H25" s="63" t="s">
        <v>694</v>
      </c>
      <c r="I25" s="65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1">
        <f t="shared" si="6"/>
        <v>6.49</v>
      </c>
      <c r="O25" s="115" t="s">
        <v>761</v>
      </c>
      <c r="P25" s="557" t="s">
        <v>768</v>
      </c>
      <c r="Q25" s="988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7" t="s">
        <v>423</v>
      </c>
      <c r="D26" s="65" t="str">
        <f>VLOOKUP(C26,'Location Summary'!$C$4:$D$603,2,0)</f>
        <v>DA-1.5</v>
      </c>
      <c r="E26" s="65" t="s">
        <v>405</v>
      </c>
      <c r="F26" s="110">
        <v>45480</v>
      </c>
      <c r="G26" s="110">
        <v>45483</v>
      </c>
      <c r="H26" s="63" t="s">
        <v>505</v>
      </c>
      <c r="I26" s="65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1">
        <f t="shared" si="6"/>
        <v>6.49</v>
      </c>
      <c r="O26" s="115" t="s">
        <v>453</v>
      </c>
      <c r="P26" s="557" t="s">
        <v>767</v>
      </c>
      <c r="Q26" s="988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7" t="s">
        <v>420</v>
      </c>
      <c r="D27" s="65" t="str">
        <f>VLOOKUP(C27,'Location Summary'!$C$4:$D$603,2,0)</f>
        <v>DA+0</v>
      </c>
      <c r="E27" s="65" t="s">
        <v>405</v>
      </c>
      <c r="F27" s="110">
        <v>45470</v>
      </c>
      <c r="G27" s="110">
        <v>45484</v>
      </c>
      <c r="H27" s="63" t="s">
        <v>505</v>
      </c>
      <c r="I27" s="65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1">
        <f t="shared" si="6"/>
        <v>6.49</v>
      </c>
      <c r="O27" s="115" t="s">
        <v>453</v>
      </c>
      <c r="P27" s="557" t="s">
        <v>744</v>
      </c>
      <c r="Q27" s="988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7" t="s">
        <v>449</v>
      </c>
      <c r="D28" s="65" t="str">
        <f>VLOOKUP(C28,'Location Summary'!$C$4:$D$603,2,0)</f>
        <v>DA+0</v>
      </c>
      <c r="E28" s="65" t="s">
        <v>405</v>
      </c>
      <c r="F28" s="110">
        <v>45484</v>
      </c>
      <c r="G28" s="110">
        <v>45488</v>
      </c>
      <c r="H28" s="63" t="s">
        <v>694</v>
      </c>
      <c r="I28" s="65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1">
        <f t="shared" si="6"/>
        <v>6.49</v>
      </c>
      <c r="O28" s="115" t="s">
        <v>661</v>
      </c>
      <c r="P28" s="557" t="s">
        <v>767</v>
      </c>
      <c r="Q28" s="988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7" t="s">
        <v>424</v>
      </c>
      <c r="D29" s="65" t="str">
        <f>VLOOKUP(C29,'Location Summary'!$C$4:$D$603,2,0)</f>
        <v>DA+0</v>
      </c>
      <c r="E29" s="65" t="s">
        <v>405</v>
      </c>
      <c r="F29" s="110">
        <v>45484</v>
      </c>
      <c r="G29" s="110">
        <v>45491</v>
      </c>
      <c r="H29" s="63" t="s">
        <v>505</v>
      </c>
      <c r="I29" s="65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1">
        <f t="shared" si="6"/>
        <v>6.49</v>
      </c>
      <c r="O29" s="115" t="s">
        <v>453</v>
      </c>
      <c r="P29" s="557" t="s">
        <v>790</v>
      </c>
      <c r="Q29" s="988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7" t="s">
        <v>399</v>
      </c>
      <c r="D30" s="65" t="str">
        <f>VLOOKUP(C30,'Location Summary'!$C$4:$D$603,2,0)</f>
        <v>DA+9</v>
      </c>
      <c r="E30" s="65" t="s">
        <v>405</v>
      </c>
      <c r="F30" s="110">
        <v>45483</v>
      </c>
      <c r="G30" s="110">
        <v>45492</v>
      </c>
      <c r="H30" s="63" t="s">
        <v>695</v>
      </c>
      <c r="I30" s="65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1">
        <f t="shared" si="6"/>
        <v>7.39</v>
      </c>
      <c r="O30" s="115" t="s">
        <v>662</v>
      </c>
      <c r="P30" s="557" t="s">
        <v>791</v>
      </c>
      <c r="Q30" s="988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7" t="s">
        <v>392</v>
      </c>
      <c r="D31" s="65" t="str">
        <f>VLOOKUP(C31,'Location Summary'!$C$4:$D$603,2,0)</f>
        <v>DA-3</v>
      </c>
      <c r="E31" s="65" t="s">
        <v>405</v>
      </c>
      <c r="F31" s="110">
        <v>45488</v>
      </c>
      <c r="G31" s="110">
        <v>45493</v>
      </c>
      <c r="H31" s="63" t="s">
        <v>801</v>
      </c>
      <c r="I31" s="65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1">
        <f t="shared" si="6"/>
        <v>6.49</v>
      </c>
      <c r="O31" s="115" t="s">
        <v>793</v>
      </c>
      <c r="P31" s="557" t="s">
        <v>791</v>
      </c>
      <c r="Q31" s="988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7" t="s">
        <v>448</v>
      </c>
      <c r="D32" s="65" t="str">
        <f>VLOOKUP(C32,'Location Summary'!$C$4:$D$603,2,0)</f>
        <v>DA+9</v>
      </c>
      <c r="E32" s="65" t="s">
        <v>405</v>
      </c>
      <c r="F32" s="110">
        <v>45489</v>
      </c>
      <c r="G32" s="110">
        <v>45495</v>
      </c>
      <c r="H32" s="63" t="s">
        <v>694</v>
      </c>
      <c r="I32" s="65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1">
        <f t="shared" si="6"/>
        <v>7.39</v>
      </c>
      <c r="O32" s="115" t="s">
        <v>661</v>
      </c>
      <c r="P32" s="557" t="s">
        <v>791</v>
      </c>
      <c r="Q32" s="988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7" t="s">
        <v>435</v>
      </c>
      <c r="D33" s="65" t="str">
        <f>VLOOKUP(C33,'Location Summary'!$C$4:$D$603,2,0)</f>
        <v>DA+3</v>
      </c>
      <c r="E33" s="65" t="s">
        <v>405</v>
      </c>
      <c r="F33" s="110">
        <v>45493</v>
      </c>
      <c r="G33" s="110">
        <v>45497</v>
      </c>
      <c r="H33" s="63" t="s">
        <v>505</v>
      </c>
      <c r="I33" s="65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1">
        <f t="shared" si="6"/>
        <v>7.39</v>
      </c>
      <c r="O33" s="115" t="s">
        <v>453</v>
      </c>
      <c r="P33" s="557" t="s">
        <v>767</v>
      </c>
      <c r="Q33" s="988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7" t="s">
        <v>400</v>
      </c>
      <c r="D34" s="65" t="str">
        <f>VLOOKUP(C34,'Location Summary'!$C$4:$D$603,2,0)</f>
        <v>DA+3</v>
      </c>
      <c r="E34" s="65" t="s">
        <v>405</v>
      </c>
      <c r="F34" s="110">
        <v>45493</v>
      </c>
      <c r="G34" s="110">
        <v>45498</v>
      </c>
      <c r="H34" s="63" t="s">
        <v>695</v>
      </c>
      <c r="I34" s="65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1">
        <f t="shared" si="6"/>
        <v>7.39</v>
      </c>
      <c r="O34" s="115" t="s">
        <v>662</v>
      </c>
      <c r="P34" s="557" t="s">
        <v>791</v>
      </c>
      <c r="Q34" s="988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7" t="s">
        <v>393</v>
      </c>
      <c r="D35" s="65" t="str">
        <f>VLOOKUP(C35,'Location Summary'!$C$4:$D$603,2,0)</f>
        <v>DA+6</v>
      </c>
      <c r="E35" s="65" t="s">
        <v>405</v>
      </c>
      <c r="F35" s="110">
        <v>45494</v>
      </c>
      <c r="G35" s="110">
        <v>45498</v>
      </c>
      <c r="H35" s="63" t="s">
        <v>801</v>
      </c>
      <c r="I35" s="65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1">
        <f t="shared" si="6"/>
        <v>7.39</v>
      </c>
      <c r="O35" s="115" t="s">
        <v>793</v>
      </c>
      <c r="P35" s="557" t="s">
        <v>791</v>
      </c>
      <c r="Q35" s="988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7" t="s">
        <v>452</v>
      </c>
      <c r="D36" s="65" t="str">
        <f>VLOOKUP(C36,'Location Summary'!$C$4:$D$603,2,0)</f>
        <v>DA+4.5</v>
      </c>
      <c r="E36" s="65" t="s">
        <v>405</v>
      </c>
      <c r="F36" s="110">
        <v>45497</v>
      </c>
      <c r="G36" s="110">
        <v>45501</v>
      </c>
      <c r="H36" s="63" t="s">
        <v>694</v>
      </c>
      <c r="I36" s="65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1">
        <f t="shared" si="6"/>
        <v>7.39</v>
      </c>
      <c r="O36" s="115" t="s">
        <v>848</v>
      </c>
      <c r="P36" s="557" t="s">
        <v>767</v>
      </c>
      <c r="Q36" s="988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7" t="s">
        <v>434</v>
      </c>
      <c r="D37" s="65" t="str">
        <f>VLOOKUP(C37,'Location Summary'!$C$4:$D$603,2,0)</f>
        <v>DA+0</v>
      </c>
      <c r="E37" s="65" t="s">
        <v>405</v>
      </c>
      <c r="F37" s="110">
        <v>45497</v>
      </c>
      <c r="G37" s="110">
        <v>45502</v>
      </c>
      <c r="H37" s="63" t="s">
        <v>505</v>
      </c>
      <c r="I37" s="65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1">
        <f t="shared" ref="N37:N68" si="13">ROUND((I37*230.35+J37*10150.5+K37*11591.45+L37*93958.18+M37*7677.44)/10^5,2)</f>
        <v>6.49</v>
      </c>
      <c r="O37" s="115" t="s">
        <v>453</v>
      </c>
      <c r="P37" s="557" t="s">
        <v>849</v>
      </c>
      <c r="Q37" s="988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7" t="s">
        <v>164</v>
      </c>
      <c r="D38" s="65" t="str">
        <f>VLOOKUP(C38,'Location Summary'!$C$4:$D$603,2,0)</f>
        <v>DA+3</v>
      </c>
      <c r="E38" s="65" t="s">
        <v>405</v>
      </c>
      <c r="F38" s="110">
        <v>45502</v>
      </c>
      <c r="G38" s="110">
        <v>45504</v>
      </c>
      <c r="H38" s="63" t="s">
        <v>694</v>
      </c>
      <c r="I38" s="65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1">
        <f t="shared" si="13"/>
        <v>7.39</v>
      </c>
      <c r="O38" s="115" t="s">
        <v>793</v>
      </c>
      <c r="P38" s="557" t="s">
        <v>768</v>
      </c>
      <c r="Q38" s="988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7" t="s">
        <v>26</v>
      </c>
      <c r="D39" s="65" t="str">
        <f>VLOOKUP(C39,'Location Summary'!$C$4:$D$603,2,0)</f>
        <v>DA+0</v>
      </c>
      <c r="E39" s="65" t="s">
        <v>405</v>
      </c>
      <c r="F39" s="110">
        <v>45494</v>
      </c>
      <c r="G39" s="110">
        <v>45505</v>
      </c>
      <c r="H39" s="63" t="s">
        <v>856</v>
      </c>
      <c r="I39" s="65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1">
        <f t="shared" si="13"/>
        <v>6.49</v>
      </c>
      <c r="O39" s="115" t="s">
        <v>453</v>
      </c>
      <c r="P39" s="557" t="s">
        <v>849</v>
      </c>
      <c r="Q39" s="988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7" t="s">
        <v>82</v>
      </c>
      <c r="D40" s="65" t="str">
        <f>VLOOKUP(C40,'Location Summary'!$C$4:$D$603,2,0)</f>
        <v>DA+3</v>
      </c>
      <c r="E40" s="65" t="s">
        <v>405</v>
      </c>
      <c r="F40" s="110">
        <v>45504</v>
      </c>
      <c r="G40" s="110">
        <v>45507</v>
      </c>
      <c r="H40" s="63" t="s">
        <v>694</v>
      </c>
      <c r="I40" s="65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1">
        <f t="shared" si="13"/>
        <v>7.39</v>
      </c>
      <c r="O40" s="115" t="s">
        <v>793</v>
      </c>
      <c r="P40" s="557" t="s">
        <v>768</v>
      </c>
      <c r="Q40" s="988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7" t="s">
        <v>436</v>
      </c>
      <c r="D41" s="65" t="str">
        <f>VLOOKUP(C41,'Location Summary'!$C$4:$D$603,2,0)</f>
        <v>DA+0</v>
      </c>
      <c r="E41" s="65" t="s">
        <v>405</v>
      </c>
      <c r="F41" s="110">
        <v>45504</v>
      </c>
      <c r="G41" s="110">
        <v>45507</v>
      </c>
      <c r="H41" s="63" t="s">
        <v>505</v>
      </c>
      <c r="I41" s="65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1">
        <f t="shared" si="13"/>
        <v>6.49</v>
      </c>
      <c r="O41" s="115" t="s">
        <v>453</v>
      </c>
      <c r="P41" s="557" t="s">
        <v>768</v>
      </c>
      <c r="Q41" s="988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7" t="s">
        <v>461</v>
      </c>
      <c r="D42" s="65" t="str">
        <f>VLOOKUP(C42,'Location Summary'!$C$4:$D$603,2,0)</f>
        <v>DA+9</v>
      </c>
      <c r="E42" s="65" t="s">
        <v>405</v>
      </c>
      <c r="F42" s="110">
        <v>45502</v>
      </c>
      <c r="G42" s="110">
        <v>45512</v>
      </c>
      <c r="H42" s="63" t="s">
        <v>851</v>
      </c>
      <c r="I42" s="65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1">
        <f t="shared" si="13"/>
        <v>7.39</v>
      </c>
      <c r="O42" s="115" t="s">
        <v>662</v>
      </c>
      <c r="P42" s="557" t="s">
        <v>791</v>
      </c>
      <c r="Q42" s="988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7" t="s">
        <v>902</v>
      </c>
      <c r="D43" s="65" t="str">
        <f>VLOOKUP(C43,'Location Summary'!$C$4:$D$603,2,0)</f>
        <v>DA+6</v>
      </c>
      <c r="E43" s="65" t="s">
        <v>405</v>
      </c>
      <c r="F43" s="110">
        <v>45508</v>
      </c>
      <c r="G43" s="110">
        <v>45512</v>
      </c>
      <c r="H43" s="63" t="s">
        <v>505</v>
      </c>
      <c r="I43" s="65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1">
        <f t="shared" si="13"/>
        <v>7.39</v>
      </c>
      <c r="O43" s="115" t="s">
        <v>793</v>
      </c>
      <c r="P43" s="557" t="s">
        <v>768</v>
      </c>
      <c r="Q43" s="988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7" t="s">
        <v>478</v>
      </c>
      <c r="D44" s="65" t="str">
        <f>VLOOKUP(C44,'Location Summary'!$C$4:$D$603,2,0)</f>
        <v>DA-3</v>
      </c>
      <c r="E44" s="65" t="s">
        <v>405</v>
      </c>
      <c r="F44" s="110">
        <v>45501</v>
      </c>
      <c r="G44" s="110">
        <v>45514</v>
      </c>
      <c r="H44" s="63" t="s">
        <v>850</v>
      </c>
      <c r="I44" s="65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1">
        <f t="shared" si="13"/>
        <v>6.49</v>
      </c>
      <c r="O44" s="115" t="s">
        <v>889</v>
      </c>
      <c r="P44" s="557" t="s">
        <v>791</v>
      </c>
      <c r="Q44" s="988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7" t="s">
        <v>401</v>
      </c>
      <c r="D45" s="65" t="str">
        <f>VLOOKUP(C45,'Location Summary'!$C$4:$D$603,2,0)</f>
        <v>DA+0</v>
      </c>
      <c r="E45" s="65" t="s">
        <v>405</v>
      </c>
      <c r="F45" s="110">
        <v>45513</v>
      </c>
      <c r="G45" s="110">
        <v>45517</v>
      </c>
      <c r="H45" s="63" t="s">
        <v>888</v>
      </c>
      <c r="I45" s="65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1">
        <f t="shared" si="13"/>
        <v>6.49</v>
      </c>
      <c r="O45" s="115" t="s">
        <v>662</v>
      </c>
      <c r="P45" s="557" t="s">
        <v>791</v>
      </c>
      <c r="Q45" s="988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7" t="s">
        <v>901</v>
      </c>
      <c r="D46" s="65" t="str">
        <f>VLOOKUP(C46,'Location Summary'!$C$4:$D$603,2,0)</f>
        <v>DA+6</v>
      </c>
      <c r="E46" s="65" t="s">
        <v>405</v>
      </c>
      <c r="F46" s="110">
        <v>45513</v>
      </c>
      <c r="G46" s="110">
        <v>45518</v>
      </c>
      <c r="H46" s="63" t="s">
        <v>505</v>
      </c>
      <c r="I46" s="65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1">
        <f t="shared" si="13"/>
        <v>7.39</v>
      </c>
      <c r="O46" s="115" t="s">
        <v>793</v>
      </c>
      <c r="P46" s="557" t="s">
        <v>768</v>
      </c>
      <c r="Q46" s="988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7" t="s">
        <v>155</v>
      </c>
      <c r="D47" s="65" t="str">
        <f>VLOOKUP(C47,'Location Summary'!$C$4:$D$603,2,0)</f>
        <v>DA+1.5</v>
      </c>
      <c r="E47" s="65" t="s">
        <v>405</v>
      </c>
      <c r="F47" s="110">
        <v>45513</v>
      </c>
      <c r="G47" s="110">
        <v>45520</v>
      </c>
      <c r="H47" s="63" t="s">
        <v>856</v>
      </c>
      <c r="I47" s="65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1">
        <f t="shared" si="13"/>
        <v>7.39</v>
      </c>
      <c r="O47" s="115" t="s">
        <v>453</v>
      </c>
      <c r="P47" s="557" t="s">
        <v>914</v>
      </c>
      <c r="Q47" s="988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7" t="s">
        <v>498</v>
      </c>
      <c r="D48" s="65" t="str">
        <f>VLOOKUP(C48,'Location Summary'!$C$4:$D$603,2,0)</f>
        <v>DA+3</v>
      </c>
      <c r="E48" s="65" t="s">
        <v>405</v>
      </c>
      <c r="F48" s="110">
        <v>45516</v>
      </c>
      <c r="G48" s="110">
        <v>45521</v>
      </c>
      <c r="H48" s="63" t="s">
        <v>888</v>
      </c>
      <c r="I48" s="65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1">
        <f t="shared" si="13"/>
        <v>7.39</v>
      </c>
      <c r="O48" s="115" t="s">
        <v>661</v>
      </c>
      <c r="P48" s="557" t="s">
        <v>791</v>
      </c>
      <c r="Q48" s="988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7" t="s">
        <v>466</v>
      </c>
      <c r="D49" s="65" t="str">
        <f>VLOOKUP(C49,'Location Summary'!$C$4:$D$603,2,0)</f>
        <v>DA+6</v>
      </c>
      <c r="E49" s="65" t="s">
        <v>405</v>
      </c>
      <c r="F49" s="110">
        <v>45517</v>
      </c>
      <c r="G49" s="110">
        <v>45522</v>
      </c>
      <c r="H49" s="63" t="s">
        <v>890</v>
      </c>
      <c r="I49" s="65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1">
        <f t="shared" si="13"/>
        <v>7.39</v>
      </c>
      <c r="O49" s="115" t="s">
        <v>848</v>
      </c>
      <c r="P49" s="557" t="s">
        <v>849</v>
      </c>
      <c r="Q49" s="988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7" t="s">
        <v>903</v>
      </c>
      <c r="D50" s="65" t="str">
        <f>VLOOKUP(C50,'Location Summary'!$C$4:$D$603,2,0)</f>
        <v>DA+6</v>
      </c>
      <c r="E50" s="65" t="s">
        <v>405</v>
      </c>
      <c r="F50" s="110">
        <v>45516</v>
      </c>
      <c r="G50" s="110">
        <v>45524</v>
      </c>
      <c r="H50" s="63" t="s">
        <v>974</v>
      </c>
      <c r="I50" s="65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1">
        <f t="shared" si="13"/>
        <v>7.39</v>
      </c>
      <c r="O50" s="115" t="s">
        <v>793</v>
      </c>
      <c r="P50" s="557" t="s">
        <v>914</v>
      </c>
      <c r="Q50" s="988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7" t="s">
        <v>875</v>
      </c>
      <c r="D51" s="65" t="str">
        <f>VLOOKUP(C51,'Location Summary'!$C$4:$D$603,2,0)</f>
        <v>DA+6</v>
      </c>
      <c r="E51" s="65" t="s">
        <v>405</v>
      </c>
      <c r="F51" s="110">
        <v>45518</v>
      </c>
      <c r="G51" s="110">
        <v>45524</v>
      </c>
      <c r="H51" s="63" t="s">
        <v>694</v>
      </c>
      <c r="I51" s="65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1">
        <f t="shared" si="13"/>
        <v>7.39</v>
      </c>
      <c r="O51" s="115" t="s">
        <v>453</v>
      </c>
      <c r="P51" s="557" t="s">
        <v>767</v>
      </c>
      <c r="Q51" s="988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7" t="s">
        <v>497</v>
      </c>
      <c r="D52" s="65" t="str">
        <f>VLOOKUP(C52,'Location Summary'!$C$4:$D$603,2,0)</f>
        <v>DA+3</v>
      </c>
      <c r="E52" s="65" t="s">
        <v>405</v>
      </c>
      <c r="F52" s="110">
        <v>45525</v>
      </c>
      <c r="G52" s="110">
        <v>45527</v>
      </c>
      <c r="H52" s="63" t="s">
        <v>888</v>
      </c>
      <c r="I52" s="65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1">
        <f t="shared" si="13"/>
        <v>7.39</v>
      </c>
      <c r="O52" s="115" t="s">
        <v>661</v>
      </c>
      <c r="P52" s="557" t="s">
        <v>791</v>
      </c>
      <c r="Q52" s="988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7" t="s">
        <v>904</v>
      </c>
      <c r="D53" s="65" t="str">
        <f>VLOOKUP(C53,'Location Summary'!$C$4:$D$603,2,0)</f>
        <v>DA+3</v>
      </c>
      <c r="E53" s="65" t="s">
        <v>405</v>
      </c>
      <c r="F53" s="110">
        <v>45522</v>
      </c>
      <c r="G53" s="110">
        <v>45528</v>
      </c>
      <c r="H53" s="63" t="s">
        <v>974</v>
      </c>
      <c r="I53" s="65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1">
        <f t="shared" si="13"/>
        <v>7.39</v>
      </c>
      <c r="O53" s="115" t="s">
        <v>793</v>
      </c>
      <c r="P53" s="557" t="s">
        <v>914</v>
      </c>
      <c r="Q53" s="988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7" t="s">
        <v>462</v>
      </c>
      <c r="D54" s="65" t="str">
        <f>VLOOKUP(C54,'Location Summary'!$C$4:$D$603,2,0)</f>
        <v>DA-1.5</v>
      </c>
      <c r="E54" s="65" t="s">
        <v>405</v>
      </c>
      <c r="F54" s="110">
        <v>45512</v>
      </c>
      <c r="G54" s="110">
        <v>45529</v>
      </c>
      <c r="H54" s="63" t="s">
        <v>851</v>
      </c>
      <c r="I54" s="65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1">
        <f t="shared" si="13"/>
        <v>6.49</v>
      </c>
      <c r="O54" s="115" t="s">
        <v>662</v>
      </c>
      <c r="P54" s="557" t="s">
        <v>791</v>
      </c>
      <c r="Q54" s="988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7" t="s">
        <v>876</v>
      </c>
      <c r="D55" s="65" t="str">
        <f>VLOOKUP(C55,'Location Summary'!$C$4:$D$603,2,0)</f>
        <v>DA+9</v>
      </c>
      <c r="E55" s="65" t="s">
        <v>405</v>
      </c>
      <c r="F55" s="110">
        <v>45525</v>
      </c>
      <c r="G55" s="110">
        <v>45530</v>
      </c>
      <c r="H55" s="63" t="s">
        <v>694</v>
      </c>
      <c r="I55" s="65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1">
        <f t="shared" si="13"/>
        <v>7.39</v>
      </c>
      <c r="O55" s="115" t="s">
        <v>662</v>
      </c>
      <c r="P55" s="557" t="s">
        <v>767</v>
      </c>
      <c r="Q55" s="988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7" t="s">
        <v>905</v>
      </c>
      <c r="D56" s="65" t="str">
        <f>VLOOKUP(C56,'Location Summary'!$C$4:$D$603,2,0)</f>
        <v>DA+6</v>
      </c>
      <c r="E56" s="65" t="s">
        <v>405</v>
      </c>
      <c r="F56" s="110">
        <v>45893</v>
      </c>
      <c r="G56" s="110">
        <v>45531</v>
      </c>
      <c r="H56" s="63" t="s">
        <v>974</v>
      </c>
      <c r="I56" s="65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1">
        <f t="shared" si="13"/>
        <v>7.39</v>
      </c>
      <c r="O56" s="115" t="s">
        <v>793</v>
      </c>
      <c r="P56" s="557" t="s">
        <v>914</v>
      </c>
      <c r="Q56" s="988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7" t="s">
        <v>260</v>
      </c>
      <c r="D57" s="65" t="str">
        <f>VLOOKUP(C57,'Location Summary'!$C$4:$D$603,2,0)</f>
        <v>DA+6</v>
      </c>
      <c r="E57" s="65" t="s">
        <v>405</v>
      </c>
      <c r="F57" s="110">
        <v>45893</v>
      </c>
      <c r="G57" s="110">
        <v>45531</v>
      </c>
      <c r="H57" s="63" t="s">
        <v>888</v>
      </c>
      <c r="I57" s="65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1">
        <f t="shared" si="13"/>
        <v>7.39</v>
      </c>
      <c r="O57" s="115" t="s">
        <v>661</v>
      </c>
      <c r="P57" s="557" t="s">
        <v>791</v>
      </c>
      <c r="Q57" s="988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7" t="s">
        <v>156</v>
      </c>
      <c r="D58" s="65" t="str">
        <f>VLOOKUP(C58,'Location Summary'!$C$4:$D$603,2,0)</f>
        <v>DA-1.5</v>
      </c>
      <c r="E58" s="65" t="s">
        <v>405</v>
      </c>
      <c r="F58" s="110">
        <v>45521</v>
      </c>
      <c r="G58" s="110">
        <v>45532</v>
      </c>
      <c r="H58" s="63" t="s">
        <v>856</v>
      </c>
      <c r="I58" s="65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1">
        <f t="shared" si="13"/>
        <v>6.49</v>
      </c>
      <c r="O58" s="115" t="s">
        <v>914</v>
      </c>
      <c r="P58" s="557" t="s">
        <v>914</v>
      </c>
      <c r="Q58" s="988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7" t="s">
        <v>259</v>
      </c>
      <c r="D59" s="65" t="str">
        <f>VLOOKUP(C59,'Location Summary'!$C$4:$D$603,2,0)</f>
        <v>DA+9</v>
      </c>
      <c r="E59" s="65" t="s">
        <v>405</v>
      </c>
      <c r="F59" s="110">
        <v>45532</v>
      </c>
      <c r="G59" s="110">
        <v>45534</v>
      </c>
      <c r="H59" s="63" t="s">
        <v>888</v>
      </c>
      <c r="I59" s="65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1">
        <f t="shared" si="13"/>
        <v>7.39</v>
      </c>
      <c r="O59" s="115" t="s">
        <v>661</v>
      </c>
      <c r="P59" s="557" t="s">
        <v>791</v>
      </c>
      <c r="Q59" s="988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7" t="s">
        <v>572</v>
      </c>
      <c r="D60" s="65" t="str">
        <f>VLOOKUP(C60,'Location Summary'!$C$4:$D$603,2,0)</f>
        <v>DA+6</v>
      </c>
      <c r="E60" s="65" t="s">
        <v>405</v>
      </c>
      <c r="F60" s="110">
        <v>45531</v>
      </c>
      <c r="G60" s="110">
        <v>45534</v>
      </c>
      <c r="H60" s="63" t="s">
        <v>694</v>
      </c>
      <c r="I60" s="65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1">
        <f t="shared" si="13"/>
        <v>7.39</v>
      </c>
      <c r="O60" s="115" t="s">
        <v>662</v>
      </c>
      <c r="P60" s="557" t="s">
        <v>767</v>
      </c>
      <c r="Q60" s="988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7" t="s">
        <v>906</v>
      </c>
      <c r="D61" s="65" t="str">
        <f>VLOOKUP(C61,'Location Summary'!$C$4:$D$603,2,0)</f>
        <v>DA+9</v>
      </c>
      <c r="E61" s="65" t="s">
        <v>405</v>
      </c>
      <c r="F61" s="110">
        <v>45508</v>
      </c>
      <c r="G61" s="110">
        <v>45535</v>
      </c>
      <c r="H61" s="63" t="s">
        <v>856</v>
      </c>
      <c r="I61" s="65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1">
        <f t="shared" si="13"/>
        <v>7.39</v>
      </c>
      <c r="O61" s="115" t="s">
        <v>793</v>
      </c>
      <c r="P61" s="557" t="s">
        <v>914</v>
      </c>
      <c r="Q61" s="988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7" t="s">
        <v>494</v>
      </c>
      <c r="D62" s="65" t="str">
        <f>VLOOKUP(C62,'Location Summary'!$C$4:$D$603,2,0)</f>
        <v>DA+1.5</v>
      </c>
      <c r="E62" s="65" t="s">
        <v>405</v>
      </c>
      <c r="F62" s="110">
        <v>45533</v>
      </c>
      <c r="G62" s="110">
        <v>45536</v>
      </c>
      <c r="H62" s="63" t="s">
        <v>974</v>
      </c>
      <c r="I62" s="65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1">
        <f t="shared" si="13"/>
        <v>7.39</v>
      </c>
      <c r="O62" s="115" t="s">
        <v>661</v>
      </c>
      <c r="P62" s="557" t="s">
        <v>791</v>
      </c>
      <c r="Q62" s="988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7" t="s">
        <v>897</v>
      </c>
      <c r="D63" s="65" t="str">
        <f>VLOOKUP(C63,'Location Summary'!$C$4:$D$603,2,0)</f>
        <v>DA+9</v>
      </c>
      <c r="E63" s="65" t="s">
        <v>405</v>
      </c>
      <c r="F63" s="110">
        <v>45533</v>
      </c>
      <c r="G63" s="110">
        <v>45536</v>
      </c>
      <c r="H63" s="63" t="s">
        <v>991</v>
      </c>
      <c r="I63" s="65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1">
        <f t="shared" si="13"/>
        <v>7.39</v>
      </c>
      <c r="O63" s="115" t="s">
        <v>848</v>
      </c>
      <c r="P63" s="557" t="s">
        <v>791</v>
      </c>
      <c r="Q63" s="988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7" t="s">
        <v>468</v>
      </c>
      <c r="D64" s="65" t="str">
        <f>VLOOKUP(C64,'Location Summary'!$C$4:$D$603,2,0)</f>
        <v>DA+9</v>
      </c>
      <c r="E64" s="65" t="s">
        <v>405</v>
      </c>
      <c r="F64" s="110">
        <v>45536</v>
      </c>
      <c r="G64" s="110">
        <v>45539</v>
      </c>
      <c r="H64" s="63" t="s">
        <v>888</v>
      </c>
      <c r="I64" s="65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1">
        <f t="shared" si="13"/>
        <v>7.39</v>
      </c>
      <c r="O64" s="115" t="s">
        <v>661</v>
      </c>
      <c r="P64" s="557" t="s">
        <v>791</v>
      </c>
      <c r="Q64" s="988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7" t="s">
        <v>573</v>
      </c>
      <c r="D65" s="65" t="str">
        <f>VLOOKUP(C65,'Location Summary'!$C$4:$D$603,2,0)</f>
        <v>DA+6</v>
      </c>
      <c r="E65" s="65" t="s">
        <v>405</v>
      </c>
      <c r="F65" s="110">
        <v>45535</v>
      </c>
      <c r="G65" s="110">
        <v>45539</v>
      </c>
      <c r="H65" s="63" t="s">
        <v>694</v>
      </c>
      <c r="I65" s="65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1">
        <f t="shared" si="13"/>
        <v>7.39</v>
      </c>
      <c r="O65" s="115" t="s">
        <v>662</v>
      </c>
      <c r="P65" s="557" t="s">
        <v>767</v>
      </c>
      <c r="Q65" s="988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7" t="s">
        <v>492</v>
      </c>
      <c r="D66" s="65" t="str">
        <f>VLOOKUP(C66,'Location Summary'!$C$4:$D$603,2,0)</f>
        <v>DA+1.5</v>
      </c>
      <c r="E66" s="65" t="s">
        <v>405</v>
      </c>
      <c r="F66" s="110">
        <v>45533</v>
      </c>
      <c r="G66" s="110">
        <v>45540</v>
      </c>
      <c r="H66" s="63" t="s">
        <v>990</v>
      </c>
      <c r="I66" s="65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1">
        <f t="shared" si="13"/>
        <v>7.39</v>
      </c>
      <c r="O66" s="115" t="s">
        <v>889</v>
      </c>
      <c r="P66" s="557" t="s">
        <v>791</v>
      </c>
      <c r="Q66" s="988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7" t="s">
        <v>495</v>
      </c>
      <c r="D67" s="65" t="str">
        <f>VLOOKUP(C67,'Location Summary'!$C$4:$D$603,2,0)</f>
        <v>DA+3</v>
      </c>
      <c r="E67" s="65" t="s">
        <v>405</v>
      </c>
      <c r="F67" s="110">
        <v>45536</v>
      </c>
      <c r="G67" s="110">
        <v>45541</v>
      </c>
      <c r="H67" s="63" t="s">
        <v>974</v>
      </c>
      <c r="I67" s="65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1">
        <f t="shared" si="13"/>
        <v>7.39</v>
      </c>
      <c r="O67" s="115" t="s">
        <v>848</v>
      </c>
      <c r="P67" s="557" t="s">
        <v>791</v>
      </c>
      <c r="Q67" s="988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7" t="s">
        <v>896</v>
      </c>
      <c r="D68" s="65" t="str">
        <f>VLOOKUP(C68,'Location Summary'!$C$4:$D$603,2,0)</f>
        <v>DA+6</v>
      </c>
      <c r="E68" s="65" t="s">
        <v>405</v>
      </c>
      <c r="F68" s="110">
        <v>45536</v>
      </c>
      <c r="G68" s="110">
        <v>45541</v>
      </c>
      <c r="H68" s="63" t="s">
        <v>991</v>
      </c>
      <c r="I68" s="65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1">
        <f t="shared" si="13"/>
        <v>7.39</v>
      </c>
      <c r="O68" s="115" t="s">
        <v>995</v>
      </c>
      <c r="P68" s="557" t="s">
        <v>791</v>
      </c>
      <c r="Q68" s="988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7" t="s">
        <v>469</v>
      </c>
      <c r="D69" s="65" t="str">
        <f>VLOOKUP(C69,'Location Summary'!$C$4:$D$603,2,0)</f>
        <v>DA+3</v>
      </c>
      <c r="E69" s="65" t="s">
        <v>405</v>
      </c>
      <c r="F69" s="110">
        <v>45539</v>
      </c>
      <c r="G69" s="110">
        <v>45542</v>
      </c>
      <c r="H69" s="63" t="s">
        <v>888</v>
      </c>
      <c r="I69" s="65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1">
        <f t="shared" ref="N69:N100" si="19">ROUND((I69*230.35+J69*10150.5+K69*11591.45+L69*93958.18+M69*7677.44)/10^5,2)</f>
        <v>7.39</v>
      </c>
      <c r="O69" s="115" t="s">
        <v>661</v>
      </c>
      <c r="P69" s="557" t="s">
        <v>791</v>
      </c>
      <c r="Q69" s="988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7" t="s">
        <v>187</v>
      </c>
      <c r="D70" s="65" t="str">
        <f>VLOOKUP(C70,'Location Summary'!$C$4:$D$603,2,0)</f>
        <v>DA+3</v>
      </c>
      <c r="E70" s="65" t="s">
        <v>405</v>
      </c>
      <c r="F70" s="110">
        <v>45539</v>
      </c>
      <c r="G70" s="110">
        <v>45544</v>
      </c>
      <c r="H70" s="63" t="s">
        <v>694</v>
      </c>
      <c r="I70" s="65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1">
        <f t="shared" si="19"/>
        <v>7.39</v>
      </c>
      <c r="O70" s="115" t="s">
        <v>662</v>
      </c>
      <c r="P70" s="557" t="s">
        <v>767</v>
      </c>
      <c r="Q70" s="988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7" t="s">
        <v>895</v>
      </c>
      <c r="D71" s="65" t="str">
        <f>VLOOKUP(C71,'Location Summary'!$C$4:$D$603,2,0)</f>
        <v>DA+9</v>
      </c>
      <c r="E71" s="65" t="s">
        <v>405</v>
      </c>
      <c r="F71" s="110">
        <v>45542</v>
      </c>
      <c r="G71" s="110">
        <v>45544</v>
      </c>
      <c r="H71" s="63" t="s">
        <v>991</v>
      </c>
      <c r="I71" s="65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1">
        <f t="shared" si="19"/>
        <v>7.39</v>
      </c>
      <c r="O71" s="115" t="s">
        <v>995</v>
      </c>
      <c r="P71" s="557" t="s">
        <v>791</v>
      </c>
      <c r="Q71" s="988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7" t="s">
        <v>496</v>
      </c>
      <c r="D72" s="65" t="str">
        <f>VLOOKUP(C72,'Location Summary'!$C$4:$D$603,2,0)</f>
        <v>DA+3</v>
      </c>
      <c r="E72" s="65" t="s">
        <v>405</v>
      </c>
      <c r="F72" s="110">
        <v>45543</v>
      </c>
      <c r="G72" s="110">
        <v>45545</v>
      </c>
      <c r="H72" s="63" t="s">
        <v>974</v>
      </c>
      <c r="I72" s="65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1">
        <f t="shared" si="19"/>
        <v>7.39</v>
      </c>
      <c r="O72" s="115" t="s">
        <v>848</v>
      </c>
      <c r="P72" s="557" t="s">
        <v>791</v>
      </c>
      <c r="Q72" s="988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7" t="s">
        <v>432</v>
      </c>
      <c r="D73" s="65" t="str">
        <f>VLOOKUP(C73,'Location Summary'!$C$4:$D$603,2,0)</f>
        <v>DA+6</v>
      </c>
      <c r="E73" s="65" t="s">
        <v>405</v>
      </c>
      <c r="F73" s="110">
        <v>45537</v>
      </c>
      <c r="G73" s="110">
        <v>45545</v>
      </c>
      <c r="H73" s="63" t="s">
        <v>856</v>
      </c>
      <c r="I73" s="65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1">
        <f t="shared" si="19"/>
        <v>7.39</v>
      </c>
      <c r="O73" s="115" t="s">
        <v>662</v>
      </c>
      <c r="P73" s="557" t="s">
        <v>914</v>
      </c>
      <c r="Q73" s="988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7" t="s">
        <v>898</v>
      </c>
      <c r="D74" s="65" t="str">
        <f>VLOOKUP(C74,'Location Summary'!$C$4:$D$603,2,0)</f>
        <v>DA+9</v>
      </c>
      <c r="E74" s="65" t="s">
        <v>405</v>
      </c>
      <c r="F74" s="110">
        <v>45544</v>
      </c>
      <c r="G74" s="110">
        <v>45547</v>
      </c>
      <c r="H74" s="63" t="s">
        <v>991</v>
      </c>
      <c r="I74" s="65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1">
        <f t="shared" si="19"/>
        <v>7.39</v>
      </c>
      <c r="O74" s="115" t="s">
        <v>995</v>
      </c>
      <c r="P74" s="557" t="s">
        <v>914</v>
      </c>
      <c r="Q74" s="988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7" t="s">
        <v>465</v>
      </c>
      <c r="D75" s="65" t="str">
        <f>VLOOKUP(C75,'Location Summary'!$C$4:$D$603,2,0)</f>
        <v>DA+9</v>
      </c>
      <c r="E75" s="65" t="s">
        <v>405</v>
      </c>
      <c r="F75" s="110">
        <v>45543</v>
      </c>
      <c r="G75" s="110">
        <v>45547</v>
      </c>
      <c r="H75" s="63" t="s">
        <v>888</v>
      </c>
      <c r="I75" s="65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1">
        <f t="shared" si="19"/>
        <v>7.39</v>
      </c>
      <c r="O75" s="115" t="s">
        <v>661</v>
      </c>
      <c r="P75" s="557" t="s">
        <v>791</v>
      </c>
      <c r="Q75" s="988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7" t="s">
        <v>588</v>
      </c>
      <c r="D76" s="65" t="str">
        <f>VLOOKUP(C76,'Location Summary'!$C$4:$D$603,2,0)</f>
        <v>DA+3</v>
      </c>
      <c r="E76" s="65" t="s">
        <v>405</v>
      </c>
      <c r="F76" s="110">
        <v>45536</v>
      </c>
      <c r="G76" s="110">
        <v>45548</v>
      </c>
      <c r="H76" s="63" t="s">
        <v>994</v>
      </c>
      <c r="I76" s="65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1">
        <f t="shared" si="19"/>
        <v>7.39</v>
      </c>
      <c r="O76" s="115" t="s">
        <v>793</v>
      </c>
      <c r="P76" s="557" t="s">
        <v>767</v>
      </c>
      <c r="Q76" s="988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7" t="s">
        <v>70</v>
      </c>
      <c r="D77" s="65" t="str">
        <f>VLOOKUP(C77,'Location Summary'!$C$4:$D$603,2,0)</f>
        <v>DA+3</v>
      </c>
      <c r="E77" s="65" t="s">
        <v>405</v>
      </c>
      <c r="F77" s="110">
        <v>45543</v>
      </c>
      <c r="G77" s="110">
        <v>45548</v>
      </c>
      <c r="H77" s="63" t="s">
        <v>694</v>
      </c>
      <c r="I77" s="65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1">
        <f t="shared" si="19"/>
        <v>7.39</v>
      </c>
      <c r="O77" s="115" t="s">
        <v>662</v>
      </c>
      <c r="P77" s="557" t="s">
        <v>767</v>
      </c>
      <c r="Q77" s="988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7" t="s">
        <v>477</v>
      </c>
      <c r="D78" s="65" t="str">
        <f>VLOOKUP(C78,'Location Summary'!$C$4:$D$603,2,0)</f>
        <v>DA-1.5</v>
      </c>
      <c r="E78" s="65" t="s">
        <v>405</v>
      </c>
      <c r="F78" s="110">
        <v>45543</v>
      </c>
      <c r="G78" s="110">
        <v>45549</v>
      </c>
      <c r="H78" s="63" t="s">
        <v>990</v>
      </c>
      <c r="I78" s="65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1">
        <f t="shared" si="19"/>
        <v>6.49</v>
      </c>
      <c r="O78" s="115" t="s">
        <v>889</v>
      </c>
      <c r="P78" s="557" t="s">
        <v>791</v>
      </c>
      <c r="Q78" s="988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7" t="s">
        <v>464</v>
      </c>
      <c r="D79" s="65" t="str">
        <f>VLOOKUP(C79,'Location Summary'!$C$4:$D$603,2,0)</f>
        <v>DA+3</v>
      </c>
      <c r="E79" s="65" t="s">
        <v>405</v>
      </c>
      <c r="F79" s="110">
        <v>45548</v>
      </c>
      <c r="G79" s="110">
        <v>45550</v>
      </c>
      <c r="H79" s="63" t="s">
        <v>888</v>
      </c>
      <c r="I79" s="65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1">
        <f t="shared" si="19"/>
        <v>7.39</v>
      </c>
      <c r="O79" s="115" t="s">
        <v>661</v>
      </c>
      <c r="P79" s="557" t="s">
        <v>791</v>
      </c>
      <c r="Q79" s="988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7" t="s">
        <v>1072</v>
      </c>
      <c r="D80" s="65" t="str">
        <f>VLOOKUP(C80,'Location Summary'!$C$4:$D$603,2,0)</f>
        <v>DA+3</v>
      </c>
      <c r="E80" s="65" t="s">
        <v>405</v>
      </c>
      <c r="F80" s="110">
        <v>45546</v>
      </c>
      <c r="G80" s="110">
        <v>45550</v>
      </c>
      <c r="H80" s="63" t="s">
        <v>974</v>
      </c>
      <c r="I80" s="65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1">
        <f t="shared" si="19"/>
        <v>7.39</v>
      </c>
      <c r="O80" s="115" t="s">
        <v>848</v>
      </c>
      <c r="P80" s="557" t="s">
        <v>791</v>
      </c>
      <c r="Q80" s="988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7" t="s">
        <v>577</v>
      </c>
      <c r="D81" s="65" t="str">
        <f>VLOOKUP(C81,'Location Summary'!$C$4:$D$603,2,0)</f>
        <v>DA+9</v>
      </c>
      <c r="E81" s="65" t="s">
        <v>405</v>
      </c>
      <c r="F81" s="110">
        <v>45548</v>
      </c>
      <c r="G81" s="110">
        <v>45550</v>
      </c>
      <c r="H81" s="63" t="s">
        <v>694</v>
      </c>
      <c r="I81" s="65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1">
        <f t="shared" si="19"/>
        <v>7.39</v>
      </c>
      <c r="O81" s="115" t="s">
        <v>662</v>
      </c>
      <c r="P81" s="557" t="s">
        <v>767</v>
      </c>
      <c r="Q81" s="988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7" t="s">
        <v>894</v>
      </c>
      <c r="D82" s="65" t="str">
        <f>VLOOKUP(C82,'Location Summary'!$C$4:$D$603,2,0)</f>
        <v>DA+6</v>
      </c>
      <c r="E82" s="65" t="s">
        <v>405</v>
      </c>
      <c r="F82" s="110">
        <v>45549</v>
      </c>
      <c r="G82" s="110">
        <v>45551</v>
      </c>
      <c r="H82" s="63" t="s">
        <v>991</v>
      </c>
      <c r="I82" s="65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1">
        <f t="shared" si="19"/>
        <v>7.39</v>
      </c>
      <c r="O82" s="115" t="s">
        <v>995</v>
      </c>
      <c r="P82" s="557" t="s">
        <v>791</v>
      </c>
      <c r="Q82" s="988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7" t="s">
        <v>579</v>
      </c>
      <c r="D83" s="65" t="str">
        <f>VLOOKUP(C83,'Location Summary'!$C$4:$D$603,2,0)</f>
        <v>DA+1.5</v>
      </c>
      <c r="E83" s="65" t="s">
        <v>405</v>
      </c>
      <c r="F83" s="110">
        <v>45550</v>
      </c>
      <c r="G83" s="110">
        <v>45553</v>
      </c>
      <c r="H83" s="63" t="s">
        <v>694</v>
      </c>
      <c r="I83" s="65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1">
        <f t="shared" si="19"/>
        <v>7.39</v>
      </c>
      <c r="O83" s="115" t="s">
        <v>453</v>
      </c>
      <c r="P83" s="557" t="s">
        <v>767</v>
      </c>
      <c r="Q83" s="988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7" t="s">
        <v>1073</v>
      </c>
      <c r="D84" s="65" t="s">
        <v>49</v>
      </c>
      <c r="E84" s="65" t="s">
        <v>405</v>
      </c>
      <c r="F84" s="110">
        <v>45550</v>
      </c>
      <c r="G84" s="110">
        <v>45554</v>
      </c>
      <c r="H84" s="63" t="s">
        <v>974</v>
      </c>
      <c r="I84" s="65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1">
        <f t="shared" si="19"/>
        <v>7.39</v>
      </c>
      <c r="O84" s="115" t="s">
        <v>662</v>
      </c>
      <c r="P84" s="557" t="s">
        <v>767</v>
      </c>
      <c r="Q84" s="988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7" t="s">
        <v>587</v>
      </c>
      <c r="D85" s="65" t="str">
        <f>VLOOKUP(C85,'Location Summary'!$C$4:$D$603,2,0)</f>
        <v>DA+1.5</v>
      </c>
      <c r="E85" s="65" t="s">
        <v>405</v>
      </c>
      <c r="F85" s="110">
        <v>45548</v>
      </c>
      <c r="G85" s="110">
        <v>45555</v>
      </c>
      <c r="H85" s="63" t="s">
        <v>994</v>
      </c>
      <c r="I85" s="65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1">
        <f t="shared" si="19"/>
        <v>7.39</v>
      </c>
      <c r="O85" s="115" t="s">
        <v>889</v>
      </c>
      <c r="P85" s="557" t="s">
        <v>767</v>
      </c>
      <c r="Q85" s="988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7" t="s">
        <v>470</v>
      </c>
      <c r="D86" s="65" t="str">
        <f>VLOOKUP(C86,'Location Summary'!$C$4:$D$603,2,0)</f>
        <v>DA+9</v>
      </c>
      <c r="E86" s="65" t="s">
        <v>405</v>
      </c>
      <c r="F86" s="110">
        <v>45553</v>
      </c>
      <c r="G86" s="110">
        <v>45555</v>
      </c>
      <c r="H86" s="63" t="s">
        <v>888</v>
      </c>
      <c r="I86" s="65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1">
        <f t="shared" si="19"/>
        <v>7.39</v>
      </c>
      <c r="O86" s="115" t="s">
        <v>661</v>
      </c>
      <c r="P86" s="557" t="s">
        <v>791</v>
      </c>
      <c r="Q86" s="988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7" t="s">
        <v>62</v>
      </c>
      <c r="D87" s="65" t="str">
        <f>VLOOKUP(C87,'Location Summary'!$C$4:$D$603,2,0)</f>
        <v>DA-1.5</v>
      </c>
      <c r="E87" s="65" t="s">
        <v>405</v>
      </c>
      <c r="F87" s="110">
        <v>45550</v>
      </c>
      <c r="G87" s="110">
        <v>45555</v>
      </c>
      <c r="H87" s="63" t="s">
        <v>856</v>
      </c>
      <c r="I87" s="65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1">
        <f t="shared" si="19"/>
        <v>6.49</v>
      </c>
      <c r="O87" s="115" t="s">
        <v>914</v>
      </c>
      <c r="P87" s="557" t="s">
        <v>914</v>
      </c>
      <c r="Q87" s="988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7" t="s">
        <v>893</v>
      </c>
      <c r="D88" s="65" t="str">
        <f>VLOOKUP(C88,'Location Summary'!$C$4:$D$603,2,0)</f>
        <v>DA+6</v>
      </c>
      <c r="E88" s="65" t="s">
        <v>405</v>
      </c>
      <c r="F88" s="110">
        <v>45552</v>
      </c>
      <c r="G88" s="110">
        <v>45556</v>
      </c>
      <c r="H88" s="63" t="s">
        <v>991</v>
      </c>
      <c r="I88" s="65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1">
        <f t="shared" si="19"/>
        <v>7.39</v>
      </c>
      <c r="O88" s="115" t="s">
        <v>995</v>
      </c>
      <c r="P88" s="557" t="s">
        <v>791</v>
      </c>
      <c r="Q88" s="988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7" t="s">
        <v>580</v>
      </c>
      <c r="D89" s="65" t="str">
        <f>VLOOKUP(C89,'Location Summary'!$C$4:$D$603,2,0)</f>
        <v>DA+6</v>
      </c>
      <c r="E89" s="65" t="s">
        <v>405</v>
      </c>
      <c r="F89" s="110">
        <v>45553</v>
      </c>
      <c r="G89" s="110">
        <v>45556</v>
      </c>
      <c r="H89" s="63" t="s">
        <v>694</v>
      </c>
      <c r="I89" s="65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1">
        <f t="shared" si="19"/>
        <v>7.39</v>
      </c>
      <c r="O89" s="115" t="s">
        <v>453</v>
      </c>
      <c r="P89" s="557" t="s">
        <v>767</v>
      </c>
      <c r="Q89" s="988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7" t="s">
        <v>472</v>
      </c>
      <c r="D90" s="65" t="str">
        <f>VLOOKUP(C90,'Location Summary'!$C$4:$D$603,2,0)</f>
        <v>DA-3</v>
      </c>
      <c r="E90" s="65" t="s">
        <v>405</v>
      </c>
      <c r="F90" s="110">
        <v>45555</v>
      </c>
      <c r="G90" s="110">
        <v>45558</v>
      </c>
      <c r="H90" s="63" t="s">
        <v>888</v>
      </c>
      <c r="I90" s="65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1">
        <f t="shared" si="19"/>
        <v>6.49</v>
      </c>
      <c r="O90" s="115" t="s">
        <v>661</v>
      </c>
      <c r="P90" s="557" t="s">
        <v>791</v>
      </c>
      <c r="Q90" s="988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7" t="s">
        <v>603</v>
      </c>
      <c r="D91" s="65" t="s">
        <v>2</v>
      </c>
      <c r="E91" s="65" t="s">
        <v>405</v>
      </c>
      <c r="F91" s="110">
        <v>45554</v>
      </c>
      <c r="G91" s="110">
        <v>45558</v>
      </c>
      <c r="H91" s="63" t="s">
        <v>974</v>
      </c>
      <c r="I91" s="65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1">
        <f t="shared" si="19"/>
        <v>7.39</v>
      </c>
      <c r="O91" s="115" t="s">
        <v>767</v>
      </c>
      <c r="P91" s="557" t="s">
        <v>767</v>
      </c>
      <c r="Q91" s="988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7" t="s">
        <v>460</v>
      </c>
      <c r="D92" s="65" t="str">
        <f>VLOOKUP(C92,'Location Summary'!$C$4:$D$603,2,0)</f>
        <v>DA+9</v>
      </c>
      <c r="E92" s="65" t="s">
        <v>405</v>
      </c>
      <c r="F92" s="110">
        <v>45555</v>
      </c>
      <c r="G92" s="110">
        <v>45558</v>
      </c>
      <c r="H92" s="63" t="s">
        <v>991</v>
      </c>
      <c r="I92" s="65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1">
        <f t="shared" si="19"/>
        <v>7.39</v>
      </c>
      <c r="O92" s="115" t="s">
        <v>995</v>
      </c>
      <c r="P92" s="557" t="s">
        <v>791</v>
      </c>
      <c r="Q92" s="988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7" t="s">
        <v>581</v>
      </c>
      <c r="D93" s="65" t="str">
        <f>VLOOKUP(C93,'Location Summary'!$C$4:$D$603,2,0)</f>
        <v>DA+9</v>
      </c>
      <c r="E93" s="65" t="s">
        <v>405</v>
      </c>
      <c r="F93" s="110">
        <v>45556</v>
      </c>
      <c r="G93" s="110">
        <v>45560</v>
      </c>
      <c r="H93" s="63" t="s">
        <v>694</v>
      </c>
      <c r="I93" s="65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1">
        <f t="shared" si="19"/>
        <v>7.39</v>
      </c>
      <c r="O93" s="115" t="s">
        <v>453</v>
      </c>
      <c r="P93" s="557" t="s">
        <v>767</v>
      </c>
      <c r="Q93" s="988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7" t="s">
        <v>590</v>
      </c>
      <c r="D94" s="65" t="str">
        <f>VLOOKUP(C94,'Location Summary'!$C$4:$D$603,2,0)</f>
        <v>DA+6</v>
      </c>
      <c r="E94" s="65" t="s">
        <v>405</v>
      </c>
      <c r="F94" s="110">
        <v>45556</v>
      </c>
      <c r="G94" s="110">
        <v>45561</v>
      </c>
      <c r="H94" s="63" t="s">
        <v>994</v>
      </c>
      <c r="I94" s="65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1">
        <f t="shared" si="19"/>
        <v>7.39</v>
      </c>
      <c r="O94" s="115" t="s">
        <v>453</v>
      </c>
      <c r="P94" s="557" t="s">
        <v>914</v>
      </c>
      <c r="Q94" s="988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7" t="s">
        <v>454</v>
      </c>
      <c r="D95" s="65" t="str">
        <f>VLOOKUP(C95,'Location Summary'!$C$4:$D$603,2,0)</f>
        <v>DA+6</v>
      </c>
      <c r="E95" s="65" t="s">
        <v>405</v>
      </c>
      <c r="F95" s="110">
        <v>45559</v>
      </c>
      <c r="G95" s="110">
        <v>45562</v>
      </c>
      <c r="H95" s="63" t="s">
        <v>991</v>
      </c>
      <c r="I95" s="65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1">
        <f t="shared" si="19"/>
        <v>7.39</v>
      </c>
      <c r="O95" s="115" t="s">
        <v>995</v>
      </c>
      <c r="P95" s="557" t="s">
        <v>791</v>
      </c>
      <c r="Q95" s="988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7" t="s">
        <v>604</v>
      </c>
      <c r="D96" s="65" t="str">
        <f>VLOOKUP(C96,'Location Summary'!$C$4:$D$603,2,0)</f>
        <v>DA+3</v>
      </c>
      <c r="E96" s="65" t="s">
        <v>405</v>
      </c>
      <c r="F96" s="110">
        <v>45559</v>
      </c>
      <c r="G96" s="110">
        <v>45562</v>
      </c>
      <c r="H96" s="63" t="s">
        <v>974</v>
      </c>
      <c r="I96" s="65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1">
        <f t="shared" si="19"/>
        <v>7.39</v>
      </c>
      <c r="O96" s="115" t="s">
        <v>793</v>
      </c>
      <c r="P96" s="557" t="s">
        <v>767</v>
      </c>
      <c r="Q96" s="988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7" t="s">
        <v>582</v>
      </c>
      <c r="D97" s="65" t="str">
        <f>VLOOKUP(C97,'Location Summary'!$C$4:$D$603,2,0)</f>
        <v>DA+3</v>
      </c>
      <c r="E97" s="65" t="s">
        <v>405</v>
      </c>
      <c r="F97" s="110">
        <v>45560</v>
      </c>
      <c r="G97" s="110">
        <v>45563</v>
      </c>
      <c r="H97" s="63" t="s">
        <v>694</v>
      </c>
      <c r="I97" s="65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1">
        <f t="shared" si="19"/>
        <v>7.39</v>
      </c>
      <c r="O97" s="115" t="s">
        <v>453</v>
      </c>
      <c r="P97" s="557" t="s">
        <v>767</v>
      </c>
      <c r="Q97" s="988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7" t="s">
        <v>61</v>
      </c>
      <c r="D98" s="65" t="str">
        <f>VLOOKUP(C98,'Location Summary'!$C$4:$D$603,2,0)</f>
        <v>DA+9</v>
      </c>
      <c r="E98" s="65" t="s">
        <v>405</v>
      </c>
      <c r="F98" s="110">
        <v>45556</v>
      </c>
      <c r="G98" s="110">
        <v>45563</v>
      </c>
      <c r="H98" s="63" t="s">
        <v>856</v>
      </c>
      <c r="I98" s="65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1">
        <f t="shared" si="19"/>
        <v>7.39</v>
      </c>
      <c r="O98" s="115" t="s">
        <v>914</v>
      </c>
      <c r="P98" s="557" t="s">
        <v>914</v>
      </c>
      <c r="Q98" s="988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7" t="s">
        <v>476</v>
      </c>
      <c r="D99" s="65" t="str">
        <f>VLOOKUP(C99,'Location Summary'!$C$4:$D$603,2,0)</f>
        <v>DA+1.5</v>
      </c>
      <c r="E99" s="65" t="s">
        <v>405</v>
      </c>
      <c r="F99" s="110">
        <v>45550</v>
      </c>
      <c r="G99" s="110">
        <v>45564</v>
      </c>
      <c r="H99" s="63" t="s">
        <v>990</v>
      </c>
      <c r="I99" s="65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1">
        <f t="shared" si="19"/>
        <v>7.39</v>
      </c>
      <c r="O99" s="115" t="s">
        <v>889</v>
      </c>
      <c r="P99" s="557" t="s">
        <v>791</v>
      </c>
      <c r="Q99" s="988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7" t="s">
        <v>584</v>
      </c>
      <c r="D100" s="65" t="str">
        <f>VLOOKUP(C100,'Location Summary'!$C$4:$D$603,2,0)</f>
        <v>DA+0</v>
      </c>
      <c r="E100" s="65" t="s">
        <v>405</v>
      </c>
      <c r="F100" s="110">
        <v>45562</v>
      </c>
      <c r="G100" s="110">
        <v>45565</v>
      </c>
      <c r="H100" s="63" t="s">
        <v>694</v>
      </c>
      <c r="I100" s="65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1">
        <f t="shared" si="19"/>
        <v>6.49</v>
      </c>
      <c r="O100" s="115" t="s">
        <v>453</v>
      </c>
      <c r="P100" s="557" t="s">
        <v>767</v>
      </c>
      <c r="Q100" s="988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7" t="s">
        <v>605</v>
      </c>
      <c r="D101" s="65" t="str">
        <f>VLOOKUP(C101,'Location Summary'!$C$4:$D$603,2,0)</f>
        <v>DA-1.5</v>
      </c>
      <c r="E101" s="65" t="s">
        <v>405</v>
      </c>
      <c r="F101" s="110">
        <v>45561</v>
      </c>
      <c r="G101" s="110">
        <v>45565</v>
      </c>
      <c r="H101" s="63" t="s">
        <v>974</v>
      </c>
      <c r="I101" s="65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1">
        <f t="shared" ref="N101:N132" si="21">ROUND((I101*230.35+J101*10150.5+K101*11591.45+L101*93958.18+M101*7677.44)/10^5,2)</f>
        <v>6.49</v>
      </c>
      <c r="O101" s="115" t="s">
        <v>793</v>
      </c>
      <c r="P101" s="557" t="s">
        <v>767</v>
      </c>
      <c r="Q101" s="988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7" t="s">
        <v>261</v>
      </c>
      <c r="D102" s="65" t="str">
        <f>VLOOKUP(C102,'Location Summary'!$C$4:$D$603,2,0)</f>
        <v>DB2+0</v>
      </c>
      <c r="E102" s="65" t="s">
        <v>405</v>
      </c>
      <c r="F102" s="110">
        <v>45560</v>
      </c>
      <c r="G102" s="110">
        <v>45566</v>
      </c>
      <c r="H102" s="63" t="s">
        <v>888</v>
      </c>
      <c r="I102" s="65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1">
        <f t="shared" si="21"/>
        <v>16</v>
      </c>
      <c r="O102" s="115" t="s">
        <v>661</v>
      </c>
      <c r="P102" s="557" t="s">
        <v>791</v>
      </c>
      <c r="Q102" s="988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7" t="s">
        <v>892</v>
      </c>
      <c r="D103" s="65" t="str">
        <f>VLOOKUP(C103,'Location Summary'!$C$4:$D$603,2,0)</f>
        <v>DB1+3</v>
      </c>
      <c r="E103" s="65" t="s">
        <v>405</v>
      </c>
      <c r="F103" s="110">
        <v>45564</v>
      </c>
      <c r="G103" s="110">
        <v>45566</v>
      </c>
      <c r="H103" s="63" t="s">
        <v>991</v>
      </c>
      <c r="I103" s="65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1">
        <f t="shared" si="21"/>
        <v>13.2</v>
      </c>
      <c r="O103" s="115" t="s">
        <v>995</v>
      </c>
      <c r="P103" s="557" t="s">
        <v>791</v>
      </c>
      <c r="Q103" s="988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7" t="s">
        <v>475</v>
      </c>
      <c r="D104" s="65" t="str">
        <f>VLOOKUP(C104,'Location Summary'!$C$4:$D$603,2,0)</f>
        <v>DA+6</v>
      </c>
      <c r="E104" s="65" t="s">
        <v>405</v>
      </c>
      <c r="F104" s="110">
        <v>45565</v>
      </c>
      <c r="G104" s="110">
        <v>45566</v>
      </c>
      <c r="H104" s="63" t="s">
        <v>990</v>
      </c>
      <c r="I104" s="65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1">
        <f t="shared" si="21"/>
        <v>7.39</v>
      </c>
      <c r="O104" s="115" t="s">
        <v>889</v>
      </c>
      <c r="P104" s="557" t="s">
        <v>791</v>
      </c>
      <c r="Q104" s="988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7" t="s">
        <v>594</v>
      </c>
      <c r="D105" s="65" t="str">
        <f>VLOOKUP(C105,'Location Summary'!$C$4:$D$603,2,0)</f>
        <v>DA+9</v>
      </c>
      <c r="E105" s="65" t="s">
        <v>405</v>
      </c>
      <c r="F105" s="110">
        <v>45562</v>
      </c>
      <c r="G105" s="110">
        <v>45568</v>
      </c>
      <c r="H105" s="63" t="s">
        <v>994</v>
      </c>
      <c r="I105" s="65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1">
        <f t="shared" si="21"/>
        <v>7.39</v>
      </c>
      <c r="O105" s="115" t="s">
        <v>453</v>
      </c>
      <c r="P105" s="557" t="s">
        <v>914</v>
      </c>
      <c r="Q105" s="988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7" t="s">
        <v>583</v>
      </c>
      <c r="D106" s="65" t="str">
        <f>VLOOKUP(C106,'Location Summary'!$C$4:$D$603,2,0)</f>
        <v>DA+0</v>
      </c>
      <c r="E106" s="65" t="s">
        <v>405</v>
      </c>
      <c r="F106" s="110">
        <v>45565</v>
      </c>
      <c r="G106" s="110">
        <v>45569</v>
      </c>
      <c r="H106" s="63" t="s">
        <v>694</v>
      </c>
      <c r="I106" s="65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1">
        <f t="shared" si="21"/>
        <v>6.49</v>
      </c>
      <c r="O106" s="115" t="s">
        <v>453</v>
      </c>
      <c r="P106" s="557" t="s">
        <v>767</v>
      </c>
      <c r="Q106" s="988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7" t="s">
        <v>1071</v>
      </c>
      <c r="D107" s="65" t="str">
        <f>VLOOKUP(C107,'Location Summary'!$C$4:$D$603,2,0)</f>
        <v>DB1+9</v>
      </c>
      <c r="E107" s="65" t="s">
        <v>405</v>
      </c>
      <c r="F107" s="110">
        <v>45565</v>
      </c>
      <c r="G107" s="110">
        <v>45570</v>
      </c>
      <c r="H107" s="63" t="s">
        <v>974</v>
      </c>
      <c r="I107" s="65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1">
        <f t="shared" si="21"/>
        <v>13.2</v>
      </c>
      <c r="O107" s="115" t="s">
        <v>793</v>
      </c>
      <c r="P107" s="557" t="s">
        <v>767</v>
      </c>
      <c r="Q107" s="988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54" t="s">
        <v>535</v>
      </c>
      <c r="D108" s="65" t="s">
        <v>3</v>
      </c>
      <c r="E108" s="65" t="s">
        <v>405</v>
      </c>
      <c r="F108" s="110">
        <v>45566</v>
      </c>
      <c r="G108" s="110">
        <v>45570</v>
      </c>
      <c r="H108" s="63" t="s">
        <v>991</v>
      </c>
      <c r="I108" s="65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1">
        <f t="shared" si="21"/>
        <v>6.49</v>
      </c>
      <c r="O108" s="115" t="s">
        <v>995</v>
      </c>
      <c r="P108" s="557" t="s">
        <v>791</v>
      </c>
      <c r="Q108" s="988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7" t="s">
        <v>467</v>
      </c>
      <c r="D109" s="65" t="str">
        <f>VLOOKUP(C109,'Location Summary'!$C$4:$D$603,2,0)</f>
        <v>DA+6</v>
      </c>
      <c r="E109" s="65" t="s">
        <v>405</v>
      </c>
      <c r="F109" s="110">
        <v>45567</v>
      </c>
      <c r="G109" s="110">
        <v>45572</v>
      </c>
      <c r="H109" s="63" t="s">
        <v>990</v>
      </c>
      <c r="I109" s="65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1">
        <f t="shared" si="21"/>
        <v>7.39</v>
      </c>
      <c r="O109" s="115" t="s">
        <v>889</v>
      </c>
      <c r="P109" s="557" t="s">
        <v>791</v>
      </c>
      <c r="Q109" s="988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7" t="s">
        <v>585</v>
      </c>
      <c r="D110" s="65" t="str">
        <f>VLOOKUP(C110,'Location Summary'!$C$4:$D$603,2,0)</f>
        <v>DA+1.5</v>
      </c>
      <c r="E110" s="65" t="s">
        <v>405</v>
      </c>
      <c r="F110" s="110">
        <v>45569</v>
      </c>
      <c r="G110" s="110">
        <v>45572</v>
      </c>
      <c r="H110" s="63" t="s">
        <v>694</v>
      </c>
      <c r="I110" s="65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1">
        <f t="shared" si="21"/>
        <v>7.39</v>
      </c>
      <c r="O110" s="115" t="s">
        <v>453</v>
      </c>
      <c r="P110" s="557" t="s">
        <v>767</v>
      </c>
      <c r="Q110" s="988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7" t="s">
        <v>480</v>
      </c>
      <c r="D111" s="65" t="str">
        <f>VLOOKUP(C111,'Location Summary'!$C$4:$D$603,2,0)</f>
        <v>DA+9</v>
      </c>
      <c r="E111" s="65" t="s">
        <v>405</v>
      </c>
      <c r="F111" s="110">
        <v>45569</v>
      </c>
      <c r="G111" s="110">
        <v>45573</v>
      </c>
      <c r="H111" s="63" t="s">
        <v>888</v>
      </c>
      <c r="I111" s="65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1">
        <f t="shared" si="21"/>
        <v>7.39</v>
      </c>
      <c r="O111" s="115" t="s">
        <v>848</v>
      </c>
      <c r="P111" s="557" t="s">
        <v>791</v>
      </c>
      <c r="Q111" s="988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7" t="s">
        <v>153</v>
      </c>
      <c r="D112" s="65" t="str">
        <f>VLOOKUP(C112,'Location Summary'!$C$4:$D$603,2,0)</f>
        <v>DA+1.5</v>
      </c>
      <c r="E112" s="65" t="s">
        <v>405</v>
      </c>
      <c r="F112" s="110">
        <v>45565</v>
      </c>
      <c r="G112" s="110">
        <v>45573</v>
      </c>
      <c r="H112" s="63" t="s">
        <v>1138</v>
      </c>
      <c r="I112" s="65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1">
        <f t="shared" si="21"/>
        <v>7.39</v>
      </c>
      <c r="O112" s="115" t="s">
        <v>914</v>
      </c>
      <c r="P112" s="557" t="s">
        <v>914</v>
      </c>
      <c r="Q112" s="988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7" t="s">
        <v>595</v>
      </c>
      <c r="D113" s="65" t="str">
        <f>VLOOKUP(C113,'Location Summary'!$C$4:$D$603,2,0)</f>
        <v>DA+6</v>
      </c>
      <c r="E113" s="65" t="s">
        <v>405</v>
      </c>
      <c r="F113" s="110">
        <v>45568</v>
      </c>
      <c r="G113" s="110">
        <v>45574</v>
      </c>
      <c r="H113" s="63" t="s">
        <v>994</v>
      </c>
      <c r="I113" s="65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1">
        <f t="shared" si="21"/>
        <v>7.39</v>
      </c>
      <c r="O113" s="115" t="s">
        <v>1074</v>
      </c>
      <c r="P113" s="557" t="s">
        <v>914</v>
      </c>
      <c r="Q113" s="988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54" t="s">
        <v>536</v>
      </c>
      <c r="D114" s="65" t="s">
        <v>3</v>
      </c>
      <c r="E114" s="65" t="s">
        <v>405</v>
      </c>
      <c r="F114" s="110">
        <v>45571</v>
      </c>
      <c r="G114" s="110">
        <v>45574</v>
      </c>
      <c r="H114" s="63" t="s">
        <v>991</v>
      </c>
      <c r="I114" s="65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1">
        <f t="shared" si="21"/>
        <v>6.49</v>
      </c>
      <c r="O114" s="115" t="s">
        <v>995</v>
      </c>
      <c r="P114" s="557" t="s">
        <v>791</v>
      </c>
      <c r="Q114" s="988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7" t="s">
        <v>586</v>
      </c>
      <c r="D115" s="65" t="str">
        <f>VLOOKUP(C115,'Location Summary'!$C$4:$D$603,2,0)</f>
        <v>DA-3</v>
      </c>
      <c r="E115" s="65" t="s">
        <v>405</v>
      </c>
      <c r="F115" s="110">
        <v>45572</v>
      </c>
      <c r="G115" s="110">
        <v>45577</v>
      </c>
      <c r="H115" s="63" t="s">
        <v>694</v>
      </c>
      <c r="I115" s="65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1">
        <f t="shared" si="21"/>
        <v>6.49</v>
      </c>
      <c r="O115" s="115" t="s">
        <v>1082</v>
      </c>
      <c r="P115" s="557" t="s">
        <v>767</v>
      </c>
      <c r="Q115" s="988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7" t="s">
        <v>481</v>
      </c>
      <c r="D116" s="65" t="str">
        <f>VLOOKUP(C116,'Location Summary'!$C$4:$D$603,2,0)</f>
        <v>DA+6</v>
      </c>
      <c r="E116" s="65" t="s">
        <v>405</v>
      </c>
      <c r="F116" s="110">
        <v>45573</v>
      </c>
      <c r="G116" s="110">
        <v>45577</v>
      </c>
      <c r="H116" s="63" t="s">
        <v>888</v>
      </c>
      <c r="I116" s="65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1">
        <f t="shared" si="21"/>
        <v>7.39</v>
      </c>
      <c r="O116" s="115" t="s">
        <v>661</v>
      </c>
      <c r="P116" s="557" t="s">
        <v>914</v>
      </c>
      <c r="Q116" s="988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54" t="s">
        <v>537</v>
      </c>
      <c r="D117" s="65" t="s">
        <v>49</v>
      </c>
      <c r="E117" s="65" t="s">
        <v>405</v>
      </c>
      <c r="F117" s="110">
        <v>45575</v>
      </c>
      <c r="G117" s="110">
        <v>45577</v>
      </c>
      <c r="H117" s="63" t="s">
        <v>991</v>
      </c>
      <c r="I117" s="65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1">
        <f t="shared" si="21"/>
        <v>7.39</v>
      </c>
      <c r="O117" s="115" t="s">
        <v>995</v>
      </c>
      <c r="P117" s="557" t="s">
        <v>768</v>
      </c>
      <c r="Q117" s="988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7" t="s">
        <v>162</v>
      </c>
      <c r="D118" s="65" t="str">
        <f>VLOOKUP(C118,'Location Summary'!$C$4:$D$603,2,0)</f>
        <v>DA-3</v>
      </c>
      <c r="E118" s="65" t="s">
        <v>405</v>
      </c>
      <c r="F118" s="110">
        <v>45573</v>
      </c>
      <c r="G118" s="110">
        <v>45579</v>
      </c>
      <c r="H118" s="63" t="s">
        <v>1138</v>
      </c>
      <c r="I118" s="65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1">
        <f t="shared" si="21"/>
        <v>6.49</v>
      </c>
      <c r="O118" s="115" t="s">
        <v>1083</v>
      </c>
      <c r="P118" s="557" t="s">
        <v>767</v>
      </c>
      <c r="Q118" s="988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7" t="s">
        <v>168</v>
      </c>
      <c r="D119" s="65" t="s">
        <v>228</v>
      </c>
      <c r="E119" s="65" t="s">
        <v>405</v>
      </c>
      <c r="F119" s="110">
        <v>45570</v>
      </c>
      <c r="G119" s="110">
        <v>45579</v>
      </c>
      <c r="H119" s="63" t="s">
        <v>974</v>
      </c>
      <c r="I119" s="557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1">
        <f t="shared" si="21"/>
        <v>16.2</v>
      </c>
      <c r="O119" s="115" t="s">
        <v>793</v>
      </c>
      <c r="P119" s="557" t="s">
        <v>767</v>
      </c>
      <c r="Q119" s="988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7" t="s">
        <v>473</v>
      </c>
      <c r="D120" s="65" t="str">
        <f>VLOOKUP(C120,'Location Summary'!$C$4:$D$603,2,0)</f>
        <v>DA+1.5</v>
      </c>
      <c r="E120" s="65" t="s">
        <v>405</v>
      </c>
      <c r="F120" s="110">
        <v>45578</v>
      </c>
      <c r="G120" s="110">
        <v>45581</v>
      </c>
      <c r="H120" s="63" t="s">
        <v>888</v>
      </c>
      <c r="I120" s="65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1">
        <f t="shared" si="21"/>
        <v>7.39</v>
      </c>
      <c r="O120" s="115" t="s">
        <v>661</v>
      </c>
      <c r="P120" s="557" t="s">
        <v>914</v>
      </c>
      <c r="Q120" s="988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7" t="s">
        <v>578</v>
      </c>
      <c r="D121" s="65" t="str">
        <f>VLOOKUP(C121,'Location Summary'!$C$4:$D$603,2,0)</f>
        <v>DA+9</v>
      </c>
      <c r="E121" s="65" t="s">
        <v>405</v>
      </c>
      <c r="F121" s="110">
        <v>45577</v>
      </c>
      <c r="G121" s="110">
        <v>45581</v>
      </c>
      <c r="H121" s="63" t="s">
        <v>694</v>
      </c>
      <c r="I121" s="65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1">
        <f t="shared" si="21"/>
        <v>7.39</v>
      </c>
      <c r="O121" s="115" t="s">
        <v>1082</v>
      </c>
      <c r="P121" s="557" t="s">
        <v>767</v>
      </c>
      <c r="Q121" s="988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54" t="s">
        <v>538</v>
      </c>
      <c r="D122" s="65" t="s">
        <v>3</v>
      </c>
      <c r="E122" s="65" t="s">
        <v>405</v>
      </c>
      <c r="F122" s="110">
        <v>45578</v>
      </c>
      <c r="G122" s="110">
        <v>45581</v>
      </c>
      <c r="H122" s="63" t="s">
        <v>991</v>
      </c>
      <c r="I122" s="65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1">
        <f t="shared" si="21"/>
        <v>6.49</v>
      </c>
      <c r="O122" s="115" t="s">
        <v>995</v>
      </c>
      <c r="P122" s="557" t="s">
        <v>768</v>
      </c>
      <c r="Q122" s="988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7" t="s">
        <v>596</v>
      </c>
      <c r="D123" s="65" t="str">
        <f>VLOOKUP(C123,'Location Summary'!$C$4:$D$603,2,0)</f>
        <v>DA+3</v>
      </c>
      <c r="E123" s="65" t="s">
        <v>405</v>
      </c>
      <c r="F123" s="110">
        <v>45574</v>
      </c>
      <c r="G123" s="110">
        <v>45582</v>
      </c>
      <c r="H123" s="63" t="s">
        <v>994</v>
      </c>
      <c r="I123" s="65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1">
        <f t="shared" si="21"/>
        <v>7.39</v>
      </c>
      <c r="O123" s="115" t="s">
        <v>453</v>
      </c>
      <c r="P123" s="557" t="s">
        <v>767</v>
      </c>
      <c r="Q123" s="988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7" t="s">
        <v>258</v>
      </c>
      <c r="D124" s="65" t="str">
        <f>VLOOKUP(C124,'Location Summary'!$C$4:$D$603,2,0)</f>
        <v>DB1+9</v>
      </c>
      <c r="E124" s="65" t="s">
        <v>405</v>
      </c>
      <c r="F124" s="110">
        <v>45576</v>
      </c>
      <c r="G124" s="110">
        <v>45583</v>
      </c>
      <c r="H124" s="63" t="s">
        <v>990</v>
      </c>
      <c r="I124" s="65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1">
        <f t="shared" si="21"/>
        <v>13.2</v>
      </c>
      <c r="O124" s="115" t="s">
        <v>889</v>
      </c>
      <c r="P124" s="557" t="s">
        <v>914</v>
      </c>
      <c r="Q124" s="988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7" t="s">
        <v>471</v>
      </c>
      <c r="D125" s="65" t="str">
        <f>VLOOKUP(C125,'Location Summary'!$C$4:$D$603,2,0)</f>
        <v>DA+9</v>
      </c>
      <c r="E125" s="65" t="s">
        <v>405</v>
      </c>
      <c r="F125" s="110">
        <v>45582</v>
      </c>
      <c r="G125" s="110">
        <v>45584</v>
      </c>
      <c r="H125" s="63" t="s">
        <v>888</v>
      </c>
      <c r="I125" s="65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1">
        <f t="shared" si="21"/>
        <v>7.39</v>
      </c>
      <c r="O125" s="115" t="s">
        <v>661</v>
      </c>
      <c r="P125" s="557" t="s">
        <v>914</v>
      </c>
      <c r="Q125" s="988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54" t="s">
        <v>534</v>
      </c>
      <c r="D126" s="65" t="s">
        <v>2</v>
      </c>
      <c r="E126" s="65" t="s">
        <v>405</v>
      </c>
      <c r="F126" s="110">
        <v>45583</v>
      </c>
      <c r="G126" s="110">
        <v>45584</v>
      </c>
      <c r="H126" s="63" t="s">
        <v>991</v>
      </c>
      <c r="I126" s="65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1">
        <f t="shared" si="21"/>
        <v>7.39</v>
      </c>
      <c r="O126" s="115" t="s">
        <v>889</v>
      </c>
      <c r="P126" s="557" t="s">
        <v>768</v>
      </c>
      <c r="Q126" s="988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7" t="s">
        <v>781</v>
      </c>
      <c r="D127" s="65" t="str">
        <f>VLOOKUP(C127,'Location Summary'!$C$4:$D$603,2,0)</f>
        <v>DA+9</v>
      </c>
      <c r="E127" s="65" t="s">
        <v>405</v>
      </c>
      <c r="F127" s="110">
        <v>45579</v>
      </c>
      <c r="G127" s="110">
        <v>45586</v>
      </c>
      <c r="H127" s="63" t="s">
        <v>974</v>
      </c>
      <c r="I127" s="65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1">
        <f t="shared" si="21"/>
        <v>7.39</v>
      </c>
      <c r="O127" s="115" t="s">
        <v>793</v>
      </c>
      <c r="P127" s="557" t="s">
        <v>767</v>
      </c>
      <c r="Q127" s="988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54" t="s">
        <v>533</v>
      </c>
      <c r="D128" s="65" t="s">
        <v>2</v>
      </c>
      <c r="E128" s="65" t="s">
        <v>405</v>
      </c>
      <c r="F128" s="110">
        <v>45585</v>
      </c>
      <c r="G128" s="110">
        <v>45587</v>
      </c>
      <c r="H128" s="63" t="s">
        <v>991</v>
      </c>
      <c r="I128" s="65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1">
        <f t="shared" si="21"/>
        <v>7.39</v>
      </c>
      <c r="O128" s="115" t="s">
        <v>889</v>
      </c>
      <c r="P128" s="557" t="s">
        <v>791</v>
      </c>
      <c r="Q128" s="988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7" t="s">
        <v>571</v>
      </c>
      <c r="D129" s="65" t="str">
        <f>VLOOKUP(C129,'Location Summary'!$C$4:$D$603,2,0)</f>
        <v>DA+0</v>
      </c>
      <c r="E129" s="65" t="s">
        <v>405</v>
      </c>
      <c r="F129" s="110">
        <v>45582</v>
      </c>
      <c r="G129" s="110">
        <v>45587</v>
      </c>
      <c r="H129" s="63" t="s">
        <v>694</v>
      </c>
      <c r="I129" s="65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1">
        <f t="shared" si="21"/>
        <v>6.49</v>
      </c>
      <c r="O129" s="115" t="s">
        <v>1082</v>
      </c>
      <c r="P129" s="557" t="s">
        <v>767</v>
      </c>
      <c r="Q129" s="988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7" t="s">
        <v>463</v>
      </c>
      <c r="D130" s="65" t="str">
        <f>VLOOKUP(C130,'Location Summary'!$C$4:$D$603,2,0)</f>
        <v>DA+6</v>
      </c>
      <c r="E130" s="65" t="s">
        <v>405</v>
      </c>
      <c r="F130" s="110">
        <v>45584</v>
      </c>
      <c r="G130" s="110">
        <v>45588</v>
      </c>
      <c r="H130" s="63" t="s">
        <v>990</v>
      </c>
      <c r="I130" s="65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1">
        <f t="shared" si="21"/>
        <v>7.39</v>
      </c>
      <c r="O130" s="115" t="s">
        <v>1084</v>
      </c>
      <c r="P130" s="557" t="s">
        <v>914</v>
      </c>
      <c r="Q130" s="988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7" t="s">
        <v>433</v>
      </c>
      <c r="D131" s="65" t="str">
        <f>VLOOKUP(C131,'Location Summary'!$C$4:$D$603,2,0)</f>
        <v>DA+0</v>
      </c>
      <c r="E131" s="65" t="s">
        <v>405</v>
      </c>
      <c r="F131" s="110">
        <v>45582</v>
      </c>
      <c r="G131" s="110">
        <v>45590</v>
      </c>
      <c r="H131" s="63" t="s">
        <v>1138</v>
      </c>
      <c r="I131" s="65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1">
        <f t="shared" si="21"/>
        <v>6.49</v>
      </c>
      <c r="O131" s="115" t="s">
        <v>793</v>
      </c>
      <c r="P131" s="557" t="s">
        <v>914</v>
      </c>
      <c r="Q131" s="988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7" t="s">
        <v>574</v>
      </c>
      <c r="D132" s="65" t="str">
        <f>VLOOKUP(C132,'Location Summary'!$C$4:$D$603,2,0)</f>
        <v>DA+3</v>
      </c>
      <c r="E132" s="65" t="s">
        <v>405</v>
      </c>
      <c r="F132" s="110">
        <v>45587</v>
      </c>
      <c r="G132" s="110">
        <v>45590</v>
      </c>
      <c r="H132" s="63" t="s">
        <v>694</v>
      </c>
      <c r="I132" s="65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1">
        <f t="shared" si="21"/>
        <v>7.39</v>
      </c>
      <c r="O132" s="115" t="s">
        <v>453</v>
      </c>
      <c r="P132" s="557" t="s">
        <v>767</v>
      </c>
      <c r="Q132" s="988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7" t="s">
        <v>782</v>
      </c>
      <c r="D133" s="65" t="str">
        <f>VLOOKUP(C133,'Location Summary'!$C$4:$D$603,2,0)</f>
        <v>DA+3</v>
      </c>
      <c r="E133" s="65" t="s">
        <v>405</v>
      </c>
      <c r="F133" s="110">
        <v>45587</v>
      </c>
      <c r="G133" s="110">
        <v>45590</v>
      </c>
      <c r="H133" s="63" t="s">
        <v>974</v>
      </c>
      <c r="I133" s="65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1">
        <f t="shared" ref="N133:N164" si="27">ROUND((I133*230.35+J133*10150.5+K133*11591.45+L133*93958.18+M133*7677.44)/10^5,2)</f>
        <v>7.39</v>
      </c>
      <c r="O133" s="115" t="s">
        <v>1102</v>
      </c>
      <c r="P133" s="557" t="s">
        <v>914</v>
      </c>
      <c r="Q133" s="988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7" t="s">
        <v>598</v>
      </c>
      <c r="D134" s="65" t="str">
        <f>VLOOKUP(C134,'Location Summary'!$C$4:$D$603,2,0)</f>
        <v>DA+1.5</v>
      </c>
      <c r="E134" s="65" t="s">
        <v>405</v>
      </c>
      <c r="F134" s="110">
        <v>45590</v>
      </c>
      <c r="G134" s="110">
        <v>45592</v>
      </c>
      <c r="H134" s="63" t="s">
        <v>994</v>
      </c>
      <c r="I134" s="65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1">
        <f t="shared" si="27"/>
        <v>7.39</v>
      </c>
      <c r="O134" s="115" t="s">
        <v>1083</v>
      </c>
      <c r="P134" s="557" t="s">
        <v>914</v>
      </c>
      <c r="Q134" s="988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54" t="s">
        <v>531</v>
      </c>
      <c r="D135" s="65" t="s">
        <v>79</v>
      </c>
      <c r="E135" s="65" t="s">
        <v>405</v>
      </c>
      <c r="F135" s="110">
        <v>45590</v>
      </c>
      <c r="G135" s="110">
        <v>45594</v>
      </c>
      <c r="H135" s="63" t="s">
        <v>991</v>
      </c>
      <c r="I135" s="65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1">
        <f t="shared" si="27"/>
        <v>7.39</v>
      </c>
      <c r="O135" s="115" t="s">
        <v>889</v>
      </c>
      <c r="P135" s="557" t="s">
        <v>791</v>
      </c>
      <c r="Q135" s="988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7" t="s">
        <v>597</v>
      </c>
      <c r="D136" s="65" t="str">
        <f>VLOOKUP(C136,'Location Summary'!$C$4:$D$603,2,0)</f>
        <v>DA+6</v>
      </c>
      <c r="E136" s="65" t="s">
        <v>405</v>
      </c>
      <c r="F136" s="110">
        <v>45582</v>
      </c>
      <c r="G136" s="110">
        <v>45594</v>
      </c>
      <c r="H136" s="63" t="s">
        <v>994</v>
      </c>
      <c r="I136" s="65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1">
        <f t="shared" si="27"/>
        <v>7.39</v>
      </c>
      <c r="O136" s="115" t="s">
        <v>1084</v>
      </c>
      <c r="P136" s="557" t="s">
        <v>767</v>
      </c>
      <c r="Q136" s="988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7" t="s">
        <v>780</v>
      </c>
      <c r="D137" s="65" t="str">
        <f>VLOOKUP(C137,'Location Summary'!$C$4:$D$603,2,0)</f>
        <v>DA+3</v>
      </c>
      <c r="E137" s="65" t="s">
        <v>405</v>
      </c>
      <c r="F137" s="110">
        <v>45590</v>
      </c>
      <c r="G137" s="110">
        <v>45595</v>
      </c>
      <c r="H137" s="63" t="s">
        <v>974</v>
      </c>
      <c r="I137" s="65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1">
        <f t="shared" si="27"/>
        <v>7.39</v>
      </c>
      <c r="O137" s="115" t="s">
        <v>1102</v>
      </c>
      <c r="P137" s="557" t="s">
        <v>767</v>
      </c>
      <c r="Q137" s="988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7" t="s">
        <v>900</v>
      </c>
      <c r="D138" s="65" t="str">
        <f>VLOOKUP(C138,'Location Summary'!$C$4:$D$603,2,0)</f>
        <v>DB1+0</v>
      </c>
      <c r="E138" s="65" t="s">
        <v>405</v>
      </c>
      <c r="F138" s="110">
        <v>45591</v>
      </c>
      <c r="G138" s="110">
        <v>45603</v>
      </c>
      <c r="H138" s="63" t="s">
        <v>1138</v>
      </c>
      <c r="I138" s="65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1">
        <f t="shared" si="27"/>
        <v>13.01</v>
      </c>
      <c r="O138" s="115" t="s">
        <v>793</v>
      </c>
      <c r="P138" s="557" t="s">
        <v>767</v>
      </c>
      <c r="Q138" s="988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7" t="s">
        <v>474</v>
      </c>
      <c r="D139" s="65" t="str">
        <f>VLOOKUP(C139,'Location Summary'!$C$4:$D$603,2,0)</f>
        <v>DA+3</v>
      </c>
      <c r="E139" s="65" t="s">
        <v>405</v>
      </c>
      <c r="F139" s="110">
        <v>45590</v>
      </c>
      <c r="G139" s="110">
        <v>45604</v>
      </c>
      <c r="H139" s="63" t="s">
        <v>990</v>
      </c>
      <c r="I139" s="65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1">
        <f t="shared" si="27"/>
        <v>7.39</v>
      </c>
      <c r="O139" s="115" t="s">
        <v>848</v>
      </c>
      <c r="P139" s="557" t="s">
        <v>791</v>
      </c>
      <c r="Q139" s="988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7" t="s">
        <v>779</v>
      </c>
      <c r="D140" s="65" t="str">
        <f>VLOOKUP(C140,'Location Summary'!$C$4:$D$603,2,0)</f>
        <v>DA+1.5</v>
      </c>
      <c r="E140" s="65" t="s">
        <v>405</v>
      </c>
      <c r="F140" s="110">
        <v>45598</v>
      </c>
      <c r="G140" s="110">
        <v>45604</v>
      </c>
      <c r="H140" s="63" t="s">
        <v>974</v>
      </c>
      <c r="I140" s="65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1">
        <f t="shared" si="27"/>
        <v>7.39</v>
      </c>
      <c r="O140" s="115" t="s">
        <v>1102</v>
      </c>
      <c r="P140" s="557" t="s">
        <v>767</v>
      </c>
      <c r="Q140" s="988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7" t="s">
        <v>600</v>
      </c>
      <c r="D141" s="65" t="str">
        <f>VLOOKUP(C141,'Location Summary'!$C$4:$D$603,2,0)</f>
        <v>DA+3</v>
      </c>
      <c r="E141" s="65" t="s">
        <v>405</v>
      </c>
      <c r="F141" s="110">
        <v>45593</v>
      </c>
      <c r="G141" s="110">
        <v>45605</v>
      </c>
      <c r="H141" s="63" t="s">
        <v>994</v>
      </c>
      <c r="I141" s="65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1">
        <f t="shared" si="27"/>
        <v>7.39</v>
      </c>
      <c r="O141" s="115" t="s">
        <v>1083</v>
      </c>
      <c r="P141" s="557" t="s">
        <v>767</v>
      </c>
      <c r="Q141" s="988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7" t="s">
        <v>575</v>
      </c>
      <c r="D142" s="65" t="str">
        <f>VLOOKUP(C142,'Location Summary'!$C$4:$D$603,2,0)</f>
        <v>DA+1.5</v>
      </c>
      <c r="E142" s="65" t="s">
        <v>405</v>
      </c>
      <c r="F142" s="110">
        <v>45601</v>
      </c>
      <c r="G142" s="110">
        <v>45607</v>
      </c>
      <c r="H142" s="63" t="s">
        <v>694</v>
      </c>
      <c r="I142" s="65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1">
        <f t="shared" si="27"/>
        <v>7.39</v>
      </c>
      <c r="O142" s="115" t="s">
        <v>793</v>
      </c>
      <c r="P142" s="557" t="s">
        <v>767</v>
      </c>
      <c r="Q142" s="988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7" t="s">
        <v>51</v>
      </c>
      <c r="D143" s="65" t="str">
        <f>VLOOKUP(C143,'Location Summary'!$C$4:$D$603,2,0)</f>
        <v>DB2+6</v>
      </c>
      <c r="E143" s="65" t="s">
        <v>405</v>
      </c>
      <c r="F143" s="110">
        <v>45592</v>
      </c>
      <c r="G143" s="110">
        <v>45608</v>
      </c>
      <c r="H143" s="63" t="s">
        <v>1141</v>
      </c>
      <c r="I143" s="65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1">
        <f t="shared" si="27"/>
        <v>16.2</v>
      </c>
      <c r="O143" s="115" t="s">
        <v>1101</v>
      </c>
      <c r="P143" s="557" t="s">
        <v>1106</v>
      </c>
      <c r="Q143" s="988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7" t="s">
        <v>778</v>
      </c>
      <c r="D144" s="65" t="str">
        <f>VLOOKUP(C144,'Location Summary'!$C$4:$D$603,2,0)</f>
        <v>DA+3</v>
      </c>
      <c r="E144" s="65" t="s">
        <v>405</v>
      </c>
      <c r="F144" s="110">
        <v>45604</v>
      </c>
      <c r="G144" s="110">
        <v>45608</v>
      </c>
      <c r="H144" s="63" t="s">
        <v>974</v>
      </c>
      <c r="I144" s="65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1">
        <f t="shared" si="27"/>
        <v>7.39</v>
      </c>
      <c r="O144" s="115" t="s">
        <v>1140</v>
      </c>
      <c r="P144" s="557" t="s">
        <v>914</v>
      </c>
      <c r="Q144" s="988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7" t="s">
        <v>192</v>
      </c>
      <c r="D145" s="65" t="str">
        <f>VLOOKUP(C145,'Location Summary'!$C$4:$D$603,2,0)</f>
        <v>DA+3</v>
      </c>
      <c r="E145" s="65" t="s">
        <v>405</v>
      </c>
      <c r="F145" s="110">
        <v>45607</v>
      </c>
      <c r="G145" s="110">
        <v>45612</v>
      </c>
      <c r="H145" s="63" t="s">
        <v>1142</v>
      </c>
      <c r="I145" s="65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1">
        <f t="shared" si="27"/>
        <v>7.39</v>
      </c>
      <c r="O145" s="115" t="s">
        <v>1101</v>
      </c>
      <c r="P145" s="557" t="s">
        <v>1106</v>
      </c>
      <c r="Q145" s="988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7" t="s">
        <v>606</v>
      </c>
      <c r="D146" s="65" t="str">
        <f>VLOOKUP(C146,'Location Summary'!$C$4:$D$603,2,0)</f>
        <v>DA+9</v>
      </c>
      <c r="E146" s="65" t="s">
        <v>405</v>
      </c>
      <c r="F146" s="110">
        <v>45609</v>
      </c>
      <c r="G146" s="110">
        <v>45613</v>
      </c>
      <c r="H146" s="63" t="s">
        <v>974</v>
      </c>
      <c r="I146" s="65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1">
        <f t="shared" si="27"/>
        <v>7.39</v>
      </c>
      <c r="O146" s="115" t="s">
        <v>1140</v>
      </c>
      <c r="P146" s="557" t="s">
        <v>914</v>
      </c>
      <c r="Q146" s="988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7" t="s">
        <v>193</v>
      </c>
      <c r="D147" s="65" t="str">
        <f>VLOOKUP(C147,'Location Summary'!$C$4:$D$603,2,0)</f>
        <v>DA+1.5</v>
      </c>
      <c r="E147" s="65" t="s">
        <v>405</v>
      </c>
      <c r="F147" s="110">
        <v>45613</v>
      </c>
      <c r="G147" s="110">
        <v>45615</v>
      </c>
      <c r="H147" s="63" t="s">
        <v>1142</v>
      </c>
      <c r="I147" s="65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1">
        <f t="shared" si="27"/>
        <v>7.39</v>
      </c>
      <c r="O147" s="115" t="s">
        <v>1101</v>
      </c>
      <c r="P147" s="557" t="s">
        <v>1106</v>
      </c>
      <c r="Q147" s="988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7" t="s">
        <v>8</v>
      </c>
      <c r="D148" s="65" t="str">
        <f>VLOOKUP(C148,'Location Summary'!$C$4:$D$603,2,0)</f>
        <v>DB2+3</v>
      </c>
      <c r="E148" s="65" t="s">
        <v>405</v>
      </c>
      <c r="F148" s="110">
        <v>45605</v>
      </c>
      <c r="G148" s="110">
        <v>45616</v>
      </c>
      <c r="H148" s="63" t="s">
        <v>994</v>
      </c>
      <c r="I148" s="65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1">
        <f t="shared" si="27"/>
        <v>16.2</v>
      </c>
      <c r="O148" s="115" t="s">
        <v>1083</v>
      </c>
      <c r="P148" s="557" t="s">
        <v>767</v>
      </c>
      <c r="Q148" s="988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7" t="s">
        <v>616</v>
      </c>
      <c r="D149" s="65" t="str">
        <f>VLOOKUP(C149,'Location Summary'!$C$4:$D$603,2,0)</f>
        <v>DA+1.5</v>
      </c>
      <c r="E149" s="65" t="s">
        <v>405</v>
      </c>
      <c r="F149" s="110">
        <v>45603</v>
      </c>
      <c r="G149" s="110">
        <v>45616</v>
      </c>
      <c r="H149" s="63" t="s">
        <v>1164</v>
      </c>
      <c r="I149" s="65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1">
        <f t="shared" si="27"/>
        <v>7.39</v>
      </c>
      <c r="O149" s="115" t="s">
        <v>793</v>
      </c>
      <c r="P149" s="557" t="s">
        <v>914</v>
      </c>
      <c r="Q149" s="988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7" t="s">
        <v>607</v>
      </c>
      <c r="D150" s="65" t="str">
        <f>VLOOKUP(C150,'Location Summary'!$C$4:$D$603,2,0)</f>
        <v>DA+3</v>
      </c>
      <c r="E150" s="65" t="s">
        <v>405</v>
      </c>
      <c r="F150" s="110">
        <v>45614</v>
      </c>
      <c r="G150" s="110">
        <v>45617</v>
      </c>
      <c r="H150" s="63" t="s">
        <v>974</v>
      </c>
      <c r="I150" s="65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1">
        <f t="shared" si="27"/>
        <v>7.39</v>
      </c>
      <c r="O150" s="115" t="s">
        <v>1149</v>
      </c>
      <c r="P150" s="557" t="s">
        <v>914</v>
      </c>
      <c r="Q150" s="988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7" t="s">
        <v>617</v>
      </c>
      <c r="D151" s="65" t="str">
        <f>VLOOKUP(C151,'Location Summary'!$C$4:$D$603,2,0)</f>
        <v>DA+0</v>
      </c>
      <c r="E151" s="65" t="s">
        <v>405</v>
      </c>
      <c r="F151" s="110">
        <v>45611</v>
      </c>
      <c r="G151" s="110">
        <v>45617</v>
      </c>
      <c r="H151" s="63" t="s">
        <v>1164</v>
      </c>
      <c r="I151" s="65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1">
        <f t="shared" si="27"/>
        <v>6.49</v>
      </c>
      <c r="O151" s="115" t="s">
        <v>793</v>
      </c>
      <c r="P151" s="557" t="s">
        <v>914</v>
      </c>
      <c r="Q151" s="988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7" t="s">
        <v>493</v>
      </c>
      <c r="D152" s="65" t="str">
        <f>VLOOKUP(C152,'Location Summary'!$C$4:$D$603,2,0)</f>
        <v>DB1+6</v>
      </c>
      <c r="E152" s="65" t="s">
        <v>405</v>
      </c>
      <c r="F152" s="110">
        <v>45604</v>
      </c>
      <c r="G152" s="110">
        <v>45618</v>
      </c>
      <c r="H152" s="63" t="s">
        <v>990</v>
      </c>
      <c r="I152" s="65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1">
        <f t="shared" si="27"/>
        <v>13.2</v>
      </c>
      <c r="O152" s="115" t="s">
        <v>1147</v>
      </c>
      <c r="P152" s="557" t="s">
        <v>1106</v>
      </c>
      <c r="Q152" s="988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7" t="s">
        <v>166</v>
      </c>
      <c r="D153" s="65" t="str">
        <f>VLOOKUP(C153,'Location Summary'!$C$4:$D$603,2,0)</f>
        <v>DB1+6</v>
      </c>
      <c r="E153" s="65" t="s">
        <v>405</v>
      </c>
      <c r="F153" s="110">
        <v>45607</v>
      </c>
      <c r="G153" s="110">
        <v>45619</v>
      </c>
      <c r="H153" s="63" t="s">
        <v>694</v>
      </c>
      <c r="I153" s="65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1">
        <f t="shared" si="27"/>
        <v>13.2</v>
      </c>
      <c r="O153" s="115" t="s">
        <v>1148</v>
      </c>
      <c r="P153" s="557" t="s">
        <v>767</v>
      </c>
      <c r="Q153" s="988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7" t="s">
        <v>618</v>
      </c>
      <c r="D154" s="65" t="str">
        <f>VLOOKUP(C154,'Location Summary'!$C$4:$D$603,2,0)</f>
        <v>DA+3</v>
      </c>
      <c r="E154" s="65" t="s">
        <v>405</v>
      </c>
      <c r="F154" s="110">
        <v>45617</v>
      </c>
      <c r="G154" s="110">
        <v>45619</v>
      </c>
      <c r="H154" s="63" t="s">
        <v>1164</v>
      </c>
      <c r="I154" s="65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1">
        <f t="shared" si="27"/>
        <v>7.39</v>
      </c>
      <c r="O154" s="115" t="s">
        <v>793</v>
      </c>
      <c r="P154" s="557" t="s">
        <v>914</v>
      </c>
      <c r="Q154" s="988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7" t="s">
        <v>254</v>
      </c>
      <c r="D155" s="65" t="str">
        <f>VLOOKUP(C155,'Location Summary'!$C$4:$D$603,2,0)</f>
        <v>DA+6</v>
      </c>
      <c r="E155" s="65" t="s">
        <v>405</v>
      </c>
      <c r="F155" s="110">
        <v>45617</v>
      </c>
      <c r="G155" s="110">
        <v>45620</v>
      </c>
      <c r="H155" s="63" t="s">
        <v>1142</v>
      </c>
      <c r="I155" s="65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1">
        <f t="shared" si="27"/>
        <v>7.39</v>
      </c>
      <c r="O155" s="115" t="s">
        <v>1150</v>
      </c>
      <c r="P155" s="557" t="s">
        <v>1106</v>
      </c>
      <c r="Q155" s="988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7" t="s">
        <v>615</v>
      </c>
      <c r="D156" s="65" t="str">
        <f>VLOOKUP(C156,'Location Summary'!$C$4:$D$603,2,0)</f>
        <v>DA+9</v>
      </c>
      <c r="E156" s="65" t="s">
        <v>405</v>
      </c>
      <c r="F156" s="110">
        <v>45617</v>
      </c>
      <c r="G156" s="110">
        <v>45622</v>
      </c>
      <c r="H156" s="63" t="s">
        <v>1164</v>
      </c>
      <c r="I156" s="65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1">
        <f t="shared" si="27"/>
        <v>7.39</v>
      </c>
      <c r="O156" s="115" t="s">
        <v>793</v>
      </c>
      <c r="P156" s="557" t="s">
        <v>914</v>
      </c>
      <c r="Q156" s="988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7" t="s">
        <v>593</v>
      </c>
      <c r="D157" s="65" t="str">
        <f>VLOOKUP(C157,'Location Summary'!$C$4:$D$603,2,0)</f>
        <v>DA+9</v>
      </c>
      <c r="E157" s="65" t="s">
        <v>405</v>
      </c>
      <c r="F157" s="110">
        <v>45617</v>
      </c>
      <c r="G157" s="110">
        <v>45623</v>
      </c>
      <c r="H157" s="63" t="s">
        <v>994</v>
      </c>
      <c r="I157" s="65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1">
        <f t="shared" si="27"/>
        <v>7.39</v>
      </c>
      <c r="O157" s="115" t="s">
        <v>1083</v>
      </c>
      <c r="P157" s="557" t="s">
        <v>767</v>
      </c>
      <c r="Q157" s="988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7" t="s">
        <v>777</v>
      </c>
      <c r="D158" s="65" t="str">
        <f>VLOOKUP(C158,'Location Summary'!$C$4:$D$603,2,0)</f>
        <v>DB1+0</v>
      </c>
      <c r="E158" s="65" t="s">
        <v>405</v>
      </c>
      <c r="F158" s="110">
        <v>45616</v>
      </c>
      <c r="G158" s="110">
        <v>45623</v>
      </c>
      <c r="H158" s="63" t="s">
        <v>974</v>
      </c>
      <c r="I158" s="65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1">
        <f t="shared" si="27"/>
        <v>13.01</v>
      </c>
      <c r="O158" s="115" t="s">
        <v>1149</v>
      </c>
      <c r="P158" s="557" t="s">
        <v>914</v>
      </c>
      <c r="Q158" s="988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7" t="s">
        <v>253</v>
      </c>
      <c r="D159" s="65" t="str">
        <f>VLOOKUP(C159,'Location Summary'!$C$4:$D$603,2,0)</f>
        <v>DA-3</v>
      </c>
      <c r="E159" s="65" t="s">
        <v>405</v>
      </c>
      <c r="F159" s="110">
        <v>45621</v>
      </c>
      <c r="G159" s="110">
        <v>45625</v>
      </c>
      <c r="H159" s="63" t="s">
        <v>1142</v>
      </c>
      <c r="I159" s="65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1">
        <f t="shared" si="27"/>
        <v>6.49</v>
      </c>
      <c r="O159" s="115" t="s">
        <v>1150</v>
      </c>
      <c r="P159" s="557" t="s">
        <v>1106</v>
      </c>
      <c r="Q159" s="988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7" t="s">
        <v>614</v>
      </c>
      <c r="D160" s="65" t="str">
        <f>VLOOKUP(C160,'Location Summary'!$C$4:$D$603,2,0)</f>
        <v>DA+6</v>
      </c>
      <c r="E160" s="65" t="s">
        <v>405</v>
      </c>
      <c r="F160" s="110">
        <v>45619</v>
      </c>
      <c r="G160" s="110">
        <v>45625</v>
      </c>
      <c r="H160" s="63" t="s">
        <v>1164</v>
      </c>
      <c r="I160" s="65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1">
        <f t="shared" si="27"/>
        <v>7.39</v>
      </c>
      <c r="O160" s="115" t="s">
        <v>793</v>
      </c>
      <c r="P160" s="557" t="s">
        <v>914</v>
      </c>
      <c r="Q160" s="988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7" t="s">
        <v>613</v>
      </c>
      <c r="D161" s="65" t="str">
        <f>VLOOKUP(C161,'Location Summary'!$C$4:$D$603,2,0)</f>
        <v>DA+3</v>
      </c>
      <c r="E161" s="65" t="s">
        <v>405</v>
      </c>
      <c r="F161" s="110">
        <v>45623</v>
      </c>
      <c r="G161" s="110">
        <v>45626</v>
      </c>
      <c r="H161" s="63" t="s">
        <v>1163</v>
      </c>
      <c r="I161" s="65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1">
        <f t="shared" si="27"/>
        <v>7.39</v>
      </c>
      <c r="O161" s="115" t="s">
        <v>793</v>
      </c>
      <c r="P161" s="557" t="s">
        <v>914</v>
      </c>
      <c r="Q161" s="988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7" t="s">
        <v>479</v>
      </c>
      <c r="D162" s="65" t="str">
        <f>VLOOKUP(C162,'Location Summary'!$C$4:$D$603,2,0)</f>
        <v>DA+6</v>
      </c>
      <c r="E162" s="65" t="s">
        <v>405</v>
      </c>
      <c r="F162" s="110">
        <v>45620</v>
      </c>
      <c r="G162" s="110">
        <v>45627</v>
      </c>
      <c r="H162" s="63" t="s">
        <v>990</v>
      </c>
      <c r="I162" s="65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1">
        <f t="shared" si="27"/>
        <v>7.39</v>
      </c>
      <c r="O162" s="115" t="s">
        <v>1147</v>
      </c>
      <c r="P162" s="557" t="s">
        <v>1106</v>
      </c>
      <c r="Q162" s="988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7" t="s">
        <v>72</v>
      </c>
      <c r="D163" s="65" t="str">
        <f>VLOOKUP(C163,'Location Summary'!$C$4:$D$603,2,0)</f>
        <v>DB1+3</v>
      </c>
      <c r="E163" s="65" t="s">
        <v>405</v>
      </c>
      <c r="F163" s="110">
        <v>45622</v>
      </c>
      <c r="G163" s="110">
        <v>45630</v>
      </c>
      <c r="H163" s="63" t="s">
        <v>974</v>
      </c>
      <c r="I163" s="65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1">
        <f t="shared" si="27"/>
        <v>13.2</v>
      </c>
      <c r="O163" s="115" t="s">
        <v>1149</v>
      </c>
      <c r="P163" s="557" t="s">
        <v>914</v>
      </c>
      <c r="Q163" s="988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7" t="s">
        <v>251</v>
      </c>
      <c r="D164" s="65" t="str">
        <f>VLOOKUP(C164,'Location Summary'!$C$4:$D$603,2,0)</f>
        <v>DA+9</v>
      </c>
      <c r="E164" s="65" t="s">
        <v>405</v>
      </c>
      <c r="F164" s="110">
        <v>45626</v>
      </c>
      <c r="G164" s="110">
        <v>45630</v>
      </c>
      <c r="H164" s="63" t="s">
        <v>1142</v>
      </c>
      <c r="I164" s="65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1">
        <f t="shared" si="27"/>
        <v>7.39</v>
      </c>
      <c r="O164" s="115" t="s">
        <v>1150</v>
      </c>
      <c r="P164" s="557" t="s">
        <v>1106</v>
      </c>
      <c r="Q164" s="988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7" t="s">
        <v>71</v>
      </c>
      <c r="D165" s="65" t="str">
        <f>VLOOKUP(C165,'Location Summary'!$C$4:$D$603,2,0)</f>
        <v>DB2+0</v>
      </c>
      <c r="E165" s="65" t="s">
        <v>405</v>
      </c>
      <c r="F165" s="110">
        <v>45623</v>
      </c>
      <c r="G165" s="110">
        <v>45632</v>
      </c>
      <c r="H165" s="63" t="s">
        <v>994</v>
      </c>
      <c r="I165" s="65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1">
        <f t="shared" ref="N165:N199" si="29">ROUND((I165*230.35+J165*10150.5+K165*11591.45+L165*93958.18+M165*7677.44)/10^5,2)</f>
        <v>16</v>
      </c>
      <c r="O165" s="115" t="s">
        <v>1083</v>
      </c>
      <c r="P165" s="557" t="s">
        <v>767</v>
      </c>
      <c r="Q165" s="988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7" t="s">
        <v>611</v>
      </c>
      <c r="D166" s="65" t="str">
        <f>VLOOKUP(C166,'Location Summary'!$C$4:$D$603,2,0)</f>
        <v>DA+3</v>
      </c>
      <c r="E166" s="65" t="s">
        <v>405</v>
      </c>
      <c r="F166" s="110">
        <v>45625</v>
      </c>
      <c r="G166" s="110">
        <v>45632</v>
      </c>
      <c r="H166" s="63" t="s">
        <v>1164</v>
      </c>
      <c r="I166" s="65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1">
        <f t="shared" si="29"/>
        <v>7.39</v>
      </c>
      <c r="O166" s="115" t="s">
        <v>793</v>
      </c>
      <c r="P166" s="557" t="s">
        <v>914</v>
      </c>
      <c r="Q166" s="988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7" t="s">
        <v>252</v>
      </c>
      <c r="D167" s="65" t="str">
        <f>VLOOKUP(C167,'Location Summary'!$C$4:$D$603,2,0)</f>
        <v>DA+0</v>
      </c>
      <c r="E167" s="65" t="s">
        <v>405</v>
      </c>
      <c r="F167" s="110">
        <v>45601</v>
      </c>
      <c r="G167" s="110">
        <v>45633</v>
      </c>
      <c r="H167" s="63" t="s">
        <v>1142</v>
      </c>
      <c r="I167" s="65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1">
        <f t="shared" si="29"/>
        <v>6.49</v>
      </c>
      <c r="O167" s="115" t="s">
        <v>1165</v>
      </c>
      <c r="P167" s="557" t="s">
        <v>1106</v>
      </c>
      <c r="Q167" s="988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7" t="s">
        <v>783</v>
      </c>
      <c r="D168" s="65" t="str">
        <f>VLOOKUP(C168,'Location Summary'!$C$4:$D$603,2,0)</f>
        <v>DA+3</v>
      </c>
      <c r="E168" s="65" t="s">
        <v>405</v>
      </c>
      <c r="F168" s="110">
        <v>45631</v>
      </c>
      <c r="G168" s="110">
        <v>45634</v>
      </c>
      <c r="H168" s="63" t="s">
        <v>974</v>
      </c>
      <c r="I168" s="65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1">
        <f t="shared" si="29"/>
        <v>7.39</v>
      </c>
      <c r="O168" s="115" t="s">
        <v>1149</v>
      </c>
      <c r="P168" s="557" t="s">
        <v>914</v>
      </c>
      <c r="Q168" s="988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7" t="s">
        <v>612</v>
      </c>
      <c r="D169" s="65" t="str">
        <f>VLOOKUP(C169,'Location Summary'!$C$4:$D$603,2,0)</f>
        <v>DA+1.5</v>
      </c>
      <c r="E169" s="65" t="s">
        <v>405</v>
      </c>
      <c r="F169" s="110">
        <v>45632</v>
      </c>
      <c r="G169" s="110">
        <v>45634</v>
      </c>
      <c r="H169" s="63" t="s">
        <v>1164</v>
      </c>
      <c r="I169" s="65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1">
        <f t="shared" si="29"/>
        <v>7.39</v>
      </c>
      <c r="O169" s="115" t="s">
        <v>793</v>
      </c>
      <c r="P169" s="557" t="s">
        <v>914</v>
      </c>
      <c r="Q169" s="988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7" t="s">
        <v>438</v>
      </c>
      <c r="D170" s="65" t="str">
        <f>VLOOKUP(C170,'Location Summary'!$C$4:$D$603,2,0)</f>
        <v>DA+3</v>
      </c>
      <c r="E170" s="65" t="s">
        <v>405</v>
      </c>
      <c r="F170" s="110">
        <v>45628</v>
      </c>
      <c r="G170" s="110">
        <v>45636</v>
      </c>
      <c r="H170" s="63" t="s">
        <v>994</v>
      </c>
      <c r="I170" s="65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1">
        <f t="shared" si="29"/>
        <v>7.39</v>
      </c>
      <c r="O170" s="115" t="s">
        <v>1083</v>
      </c>
      <c r="P170" s="557" t="s">
        <v>767</v>
      </c>
      <c r="Q170" s="988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7" t="s">
        <v>207</v>
      </c>
      <c r="D171" s="65" t="str">
        <f>VLOOKUP(C171,'Location Summary'!$C$4:$D$603,2,0)</f>
        <v>DA+6</v>
      </c>
      <c r="E171" s="65" t="s">
        <v>405</v>
      </c>
      <c r="F171" s="110">
        <v>45633</v>
      </c>
      <c r="G171" s="110">
        <v>45638</v>
      </c>
      <c r="H171" s="63" t="s">
        <v>974</v>
      </c>
      <c r="I171" s="65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1">
        <f t="shared" si="29"/>
        <v>7.39</v>
      </c>
      <c r="O171" s="115" t="s">
        <v>1149</v>
      </c>
      <c r="P171" s="557" t="s">
        <v>914</v>
      </c>
      <c r="Q171" s="988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7" t="s">
        <v>610</v>
      </c>
      <c r="D172" s="65" t="str">
        <f>VLOOKUP(C172,'Location Summary'!$C$4:$D$603,2,0)</f>
        <v>DA+0</v>
      </c>
      <c r="E172" s="65" t="s">
        <v>405</v>
      </c>
      <c r="F172" s="110">
        <v>45635</v>
      </c>
      <c r="G172" s="110">
        <v>45638</v>
      </c>
      <c r="H172" s="63" t="s">
        <v>1164</v>
      </c>
      <c r="I172" s="65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1">
        <f t="shared" si="29"/>
        <v>6.49</v>
      </c>
      <c r="O172" s="115" t="s">
        <v>793</v>
      </c>
      <c r="P172" s="557" t="s">
        <v>914</v>
      </c>
      <c r="Q172" s="988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7" t="s">
        <v>609</v>
      </c>
      <c r="D173" s="65" t="str">
        <f>VLOOKUP(C173,'Location Summary'!$C$4:$D$603,2,0)</f>
        <v>DA+0</v>
      </c>
      <c r="E173" s="65" t="s">
        <v>405</v>
      </c>
      <c r="F173" s="110">
        <v>45637</v>
      </c>
      <c r="G173" s="110">
        <v>45639</v>
      </c>
      <c r="H173" s="63" t="s">
        <v>1164</v>
      </c>
      <c r="I173" s="65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1">
        <f t="shared" si="29"/>
        <v>6.49</v>
      </c>
      <c r="O173" s="115" t="s">
        <v>793</v>
      </c>
      <c r="P173" s="557" t="s">
        <v>914</v>
      </c>
      <c r="Q173" s="988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7" t="s">
        <v>5</v>
      </c>
      <c r="D174" s="65" t="str">
        <f>VLOOKUP(C174,'Location Summary'!$C$4:$D$603,2,0)</f>
        <v>DA+3</v>
      </c>
      <c r="E174" s="65" t="s">
        <v>405</v>
      </c>
      <c r="F174" s="110">
        <v>45638</v>
      </c>
      <c r="G174" s="110">
        <v>45640</v>
      </c>
      <c r="H174" s="63" t="s">
        <v>974</v>
      </c>
      <c r="I174" s="65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1">
        <f t="shared" si="29"/>
        <v>7.39</v>
      </c>
      <c r="O174" s="115" t="s">
        <v>1149</v>
      </c>
      <c r="P174" s="557" t="s">
        <v>914</v>
      </c>
      <c r="Q174" s="988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7" t="s">
        <v>620</v>
      </c>
      <c r="D175" s="65" t="str">
        <f>VLOOKUP(C175,'Location Summary'!$C$4:$D$603,2,0)</f>
        <v>DA-1.5</v>
      </c>
      <c r="E175" s="65" t="s">
        <v>405</v>
      </c>
      <c r="F175" s="110">
        <v>45626</v>
      </c>
      <c r="G175" s="110">
        <v>45641</v>
      </c>
      <c r="H175" s="63" t="s">
        <v>1169</v>
      </c>
      <c r="I175" s="65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1">
        <f t="shared" si="29"/>
        <v>6.49</v>
      </c>
      <c r="O175" s="115" t="s">
        <v>793</v>
      </c>
      <c r="P175" s="557" t="s">
        <v>914</v>
      </c>
      <c r="Q175" s="988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7" t="s">
        <v>482</v>
      </c>
      <c r="D176" s="65" t="str">
        <f>VLOOKUP(C176,'Location Summary'!$C$4:$D$603,2,0)</f>
        <v>DA+6</v>
      </c>
      <c r="E176" s="65" t="s">
        <v>405</v>
      </c>
      <c r="F176" s="110">
        <v>45626</v>
      </c>
      <c r="G176" s="110">
        <v>45643</v>
      </c>
      <c r="H176" s="63" t="s">
        <v>990</v>
      </c>
      <c r="I176" s="65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1">
        <f t="shared" si="29"/>
        <v>7.39</v>
      </c>
      <c r="O176" s="115" t="s">
        <v>1148</v>
      </c>
      <c r="P176" s="557" t="s">
        <v>1106</v>
      </c>
      <c r="Q176" s="988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7" t="s">
        <v>65</v>
      </c>
      <c r="D177" s="65" t="str">
        <f>VLOOKUP(C177,'Location Summary'!$C$4:$D$603,2,0)</f>
        <v>DB1+0</v>
      </c>
      <c r="E177" s="65" t="s">
        <v>405</v>
      </c>
      <c r="F177" s="110">
        <v>45637</v>
      </c>
      <c r="G177" s="110">
        <v>45644</v>
      </c>
      <c r="H177" s="63" t="s">
        <v>994</v>
      </c>
      <c r="I177" s="65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1">
        <f t="shared" si="29"/>
        <v>13.01</v>
      </c>
      <c r="O177" s="115" t="s">
        <v>1083</v>
      </c>
      <c r="P177" s="557" t="s">
        <v>767</v>
      </c>
      <c r="Q177" s="988" t="s">
        <v>255</v>
      </c>
      <c r="R177" s="13">
        <f t="shared" si="28"/>
        <v>585.18400000000008</v>
      </c>
    </row>
    <row r="178" spans="1:18" s="201" customFormat="1" ht="21.75" customHeight="1">
      <c r="A178" s="14">
        <f>SUBTOTAL(103,$C$5:C178)</f>
        <v>174</v>
      </c>
      <c r="B178" s="10">
        <v>17</v>
      </c>
      <c r="C178" s="117" t="s">
        <v>634</v>
      </c>
      <c r="D178" s="65" t="str">
        <f>VLOOKUP(C178,'Location Summary'!$C$4:$D$603,2,0)</f>
        <v>DA+3</v>
      </c>
      <c r="E178" s="65" t="s">
        <v>405</v>
      </c>
      <c r="F178" s="110">
        <v>45641</v>
      </c>
      <c r="G178" s="110">
        <v>45645</v>
      </c>
      <c r="H178" s="63" t="s">
        <v>974</v>
      </c>
      <c r="I178" s="65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1">
        <f t="shared" si="29"/>
        <v>7.39</v>
      </c>
      <c r="O178" s="115" t="s">
        <v>1149</v>
      </c>
      <c r="P178" s="557" t="s">
        <v>914</v>
      </c>
      <c r="Q178" s="988" t="s">
        <v>255</v>
      </c>
      <c r="R178" s="13">
        <f t="shared" si="28"/>
        <v>314.28399999999999</v>
      </c>
    </row>
    <row r="179" spans="1:18" s="201" customFormat="1" ht="21.75" customHeight="1">
      <c r="A179" s="14">
        <f>SUBTOTAL(103,$C$5:C179)</f>
        <v>175</v>
      </c>
      <c r="B179" s="10">
        <v>18</v>
      </c>
      <c r="C179" s="117" t="s">
        <v>13</v>
      </c>
      <c r="D179" s="65" t="str">
        <f>VLOOKUP(C179,'Location Summary'!$C$4:$D$603,2,0)</f>
        <v>DC1+3</v>
      </c>
      <c r="E179" s="65" t="s">
        <v>405</v>
      </c>
      <c r="F179" s="110">
        <v>45638</v>
      </c>
      <c r="G179" s="110">
        <v>45645</v>
      </c>
      <c r="H179" s="63" t="s">
        <v>1142</v>
      </c>
      <c r="I179" s="65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1">
        <f t="shared" si="29"/>
        <v>17.8</v>
      </c>
      <c r="O179" s="115" t="s">
        <v>1165</v>
      </c>
      <c r="P179" s="557" t="s">
        <v>1106</v>
      </c>
      <c r="Q179" s="988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7" t="s">
        <v>633</v>
      </c>
      <c r="D180" s="65" t="str">
        <f>VLOOKUP(C180,'Location Summary'!$C$4:$D$603,2,0)</f>
        <v>DA+9</v>
      </c>
      <c r="E180" s="65" t="s">
        <v>405</v>
      </c>
      <c r="F180" s="110">
        <v>45644</v>
      </c>
      <c r="G180" s="110">
        <v>45647</v>
      </c>
      <c r="H180" s="63" t="s">
        <v>974</v>
      </c>
      <c r="I180" s="65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1">
        <f t="shared" si="29"/>
        <v>7.39</v>
      </c>
      <c r="O180" s="115" t="s">
        <v>1149</v>
      </c>
      <c r="P180" s="557" t="s">
        <v>914</v>
      </c>
      <c r="Q180" s="988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7" t="s">
        <v>73</v>
      </c>
      <c r="D181" s="65" t="str">
        <f>VLOOKUP(C181,'Location Summary'!$C$4:$D$603,2,0)</f>
        <v>DB2+0</v>
      </c>
      <c r="E181" s="65" t="s">
        <v>405</v>
      </c>
      <c r="F181" s="110">
        <v>45637</v>
      </c>
      <c r="G181" s="110">
        <v>45647</v>
      </c>
      <c r="H181" s="63" t="s">
        <v>1164</v>
      </c>
      <c r="I181" s="65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1">
        <f t="shared" si="29"/>
        <v>16</v>
      </c>
      <c r="O181" s="115" t="s">
        <v>793</v>
      </c>
      <c r="P181" s="557" t="s">
        <v>914</v>
      </c>
      <c r="Q181" s="988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7" t="s">
        <v>621</v>
      </c>
      <c r="D182" s="65" t="str">
        <f>VLOOKUP(C182,'Location Summary'!$C$4:$D$603,2,0)</f>
        <v>DA+3</v>
      </c>
      <c r="E182" s="65" t="s">
        <v>405</v>
      </c>
      <c r="F182" s="110">
        <v>45639</v>
      </c>
      <c r="G182" s="110">
        <v>45647</v>
      </c>
      <c r="H182" s="63" t="s">
        <v>1169</v>
      </c>
      <c r="I182" s="65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1">
        <f t="shared" si="29"/>
        <v>7.39</v>
      </c>
      <c r="O182" s="115" t="s">
        <v>793</v>
      </c>
      <c r="P182" s="557" t="s">
        <v>914</v>
      </c>
      <c r="Q182" s="988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7" t="s">
        <v>437</v>
      </c>
      <c r="D183" s="65" t="str">
        <f>VLOOKUP(C183,'Location Summary'!$C$4:$D$603,2,0)</f>
        <v>DA+9</v>
      </c>
      <c r="E183" s="65" t="s">
        <v>405</v>
      </c>
      <c r="F183" s="110">
        <v>45645</v>
      </c>
      <c r="G183" s="110">
        <v>45648</v>
      </c>
      <c r="H183" s="63" t="s">
        <v>994</v>
      </c>
      <c r="I183" s="65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1">
        <f t="shared" si="29"/>
        <v>7.39</v>
      </c>
      <c r="O183" s="115" t="s">
        <v>1083</v>
      </c>
      <c r="P183" s="557" t="s">
        <v>767</v>
      </c>
      <c r="Q183" s="988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7" t="s">
        <v>623</v>
      </c>
      <c r="D184" s="65" t="str">
        <f>VLOOKUP(C184,'Location Summary'!$C$4:$D$603,2,0)</f>
        <v>DA+3</v>
      </c>
      <c r="E184" s="65" t="s">
        <v>405</v>
      </c>
      <c r="F184" s="110">
        <v>45641</v>
      </c>
      <c r="G184" s="110">
        <v>45649</v>
      </c>
      <c r="H184" s="63" t="s">
        <v>1164</v>
      </c>
      <c r="I184" s="65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1">
        <f t="shared" si="29"/>
        <v>7.39</v>
      </c>
      <c r="O184" s="115" t="s">
        <v>793</v>
      </c>
      <c r="P184" s="557" t="s">
        <v>914</v>
      </c>
      <c r="Q184" s="988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7" t="s">
        <v>635</v>
      </c>
      <c r="D185" s="65" t="str">
        <f>VLOOKUP(C185,'Location Summary'!$C$4:$D$603,2,0)</f>
        <v>DA-1.5</v>
      </c>
      <c r="E185" s="65" t="s">
        <v>405</v>
      </c>
      <c r="F185" s="110">
        <v>45646</v>
      </c>
      <c r="G185" s="110">
        <v>45651</v>
      </c>
      <c r="H185" s="63" t="s">
        <v>974</v>
      </c>
      <c r="I185" s="65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1">
        <f t="shared" si="29"/>
        <v>6.49</v>
      </c>
      <c r="O185" s="115" t="s">
        <v>1149</v>
      </c>
      <c r="P185" s="557" t="s">
        <v>914</v>
      </c>
      <c r="Q185" s="988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7" t="s">
        <v>76</v>
      </c>
      <c r="D186" s="65" t="str">
        <f>VLOOKUP(C186,'Location Summary'!$C$4:$D$603,2,0)</f>
        <v>DA+9</v>
      </c>
      <c r="E186" s="65" t="s">
        <v>405</v>
      </c>
      <c r="F186" s="110">
        <v>45644</v>
      </c>
      <c r="G186" s="110">
        <v>45653</v>
      </c>
      <c r="H186" s="63" t="s">
        <v>1175</v>
      </c>
      <c r="I186" s="65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1">
        <f t="shared" si="29"/>
        <v>7.39</v>
      </c>
      <c r="O186" s="115" t="s">
        <v>1178</v>
      </c>
      <c r="P186" s="557" t="s">
        <v>914</v>
      </c>
      <c r="Q186" s="988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7" t="s">
        <v>12</v>
      </c>
      <c r="D187" s="65" t="str">
        <f>VLOOKUP(C187,'Location Summary'!$C$4:$D$603,2,0)</f>
        <v>DC2+0</v>
      </c>
      <c r="E187" s="65" t="s">
        <v>405</v>
      </c>
      <c r="F187" s="110">
        <v>45645</v>
      </c>
      <c r="G187" s="110">
        <v>45654</v>
      </c>
      <c r="H187" s="63" t="s">
        <v>1142</v>
      </c>
      <c r="I187" s="65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1">
        <f t="shared" si="29"/>
        <v>21.43</v>
      </c>
      <c r="O187" s="115" t="s">
        <v>1165</v>
      </c>
      <c r="P187" s="557" t="s">
        <v>1106</v>
      </c>
      <c r="Q187" s="988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7" t="s">
        <v>632</v>
      </c>
      <c r="D188" s="65" t="str">
        <f>VLOOKUP(C188,'Location Summary'!$C$4:$D$603,2,0)</f>
        <v>DA+9</v>
      </c>
      <c r="E188" s="65" t="s">
        <v>405</v>
      </c>
      <c r="F188" s="110">
        <v>45650</v>
      </c>
      <c r="G188" s="110">
        <v>45655</v>
      </c>
      <c r="H188" s="63" t="s">
        <v>974</v>
      </c>
      <c r="I188" s="65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1">
        <f t="shared" si="29"/>
        <v>7.39</v>
      </c>
      <c r="O188" s="115" t="s">
        <v>1149</v>
      </c>
      <c r="P188" s="557" t="s">
        <v>914</v>
      </c>
      <c r="Q188" s="988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7" t="s">
        <v>622</v>
      </c>
      <c r="D189" s="65" t="str">
        <f>VLOOKUP(C189,'Location Summary'!$C$4:$D$603,2,0)</f>
        <v>DA+1.5</v>
      </c>
      <c r="E189" s="65" t="s">
        <v>405</v>
      </c>
      <c r="F189" s="110">
        <v>45646</v>
      </c>
      <c r="G189" s="110">
        <v>45655</v>
      </c>
      <c r="H189" s="63" t="s">
        <v>1169</v>
      </c>
      <c r="I189" s="65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1">
        <f t="shared" si="29"/>
        <v>7.39</v>
      </c>
      <c r="O189" s="115" t="s">
        <v>1181</v>
      </c>
      <c r="P189" s="557" t="s">
        <v>914</v>
      </c>
      <c r="Q189" s="988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7" t="s">
        <v>439</v>
      </c>
      <c r="D190" s="65" t="str">
        <f>VLOOKUP(C190,'Location Summary'!$C$4:$D$603,2,0)</f>
        <v>DA+9</v>
      </c>
      <c r="E190" s="65" t="s">
        <v>405</v>
      </c>
      <c r="F190" s="110">
        <v>45648</v>
      </c>
      <c r="G190" s="110">
        <v>45655</v>
      </c>
      <c r="H190" s="63" t="s">
        <v>994</v>
      </c>
      <c r="I190" s="65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1">
        <f t="shared" si="29"/>
        <v>7.39</v>
      </c>
      <c r="O190" s="115" t="s">
        <v>1182</v>
      </c>
      <c r="P190" s="557" t="s">
        <v>1183</v>
      </c>
      <c r="Q190" s="988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7" t="s">
        <v>483</v>
      </c>
      <c r="D191" s="65" t="str">
        <f>VLOOKUP(C191,'Location Summary'!$C$4:$D$603,2,0)</f>
        <v>DA-1.5</v>
      </c>
      <c r="E191" s="65" t="s">
        <v>405</v>
      </c>
      <c r="F191" s="110">
        <v>45645</v>
      </c>
      <c r="G191" s="110">
        <v>45656</v>
      </c>
      <c r="H191" s="63" t="s">
        <v>990</v>
      </c>
      <c r="I191" s="65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1">
        <f t="shared" si="29"/>
        <v>6.49</v>
      </c>
      <c r="O191" s="115" t="s">
        <v>889</v>
      </c>
      <c r="P191" s="557" t="s">
        <v>1106</v>
      </c>
      <c r="Q191" s="988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7" t="s">
        <v>6</v>
      </c>
      <c r="D192" s="65" t="str">
        <f>VLOOKUP(C192,'Location Summary'!$C$4:$D$603,2,0)</f>
        <v>DA+6</v>
      </c>
      <c r="E192" s="65" t="s">
        <v>405</v>
      </c>
      <c r="F192" s="110">
        <v>45654</v>
      </c>
      <c r="G192" s="110">
        <v>45657</v>
      </c>
      <c r="H192" s="63" t="s">
        <v>974</v>
      </c>
      <c r="I192" s="65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1">
        <f t="shared" si="29"/>
        <v>7.39</v>
      </c>
      <c r="O192" s="115" t="s">
        <v>1149</v>
      </c>
      <c r="P192" s="557" t="s">
        <v>914</v>
      </c>
      <c r="Q192" s="988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7" t="s">
        <v>425</v>
      </c>
      <c r="D193" s="65" t="str">
        <f>VLOOKUP(C193,'Location Summary'!$C$4:$D$603,2,0)</f>
        <v>DA+6</v>
      </c>
      <c r="E193" s="65" t="s">
        <v>405</v>
      </c>
      <c r="F193" s="110">
        <v>45653</v>
      </c>
      <c r="G193" s="110">
        <v>45657</v>
      </c>
      <c r="H193" s="63" t="s">
        <v>1142</v>
      </c>
      <c r="I193" s="65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1">
        <f t="shared" si="29"/>
        <v>7.39</v>
      </c>
      <c r="O193" s="115" t="s">
        <v>1186</v>
      </c>
      <c r="P193" s="557" t="s">
        <v>1106</v>
      </c>
      <c r="Q193" s="988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67" t="s">
        <v>77</v>
      </c>
      <c r="D194" s="65" t="str">
        <f>VLOOKUP(C194,'Location Summary'!$C$4:$D$603,2,0)</f>
        <v>DB2+0</v>
      </c>
      <c r="E194" s="65" t="s">
        <v>405</v>
      </c>
      <c r="F194" s="110">
        <v>45653</v>
      </c>
      <c r="G194" s="110">
        <v>45660</v>
      </c>
      <c r="H194" s="63" t="s">
        <v>1175</v>
      </c>
      <c r="I194" s="65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5">
        <f t="shared" si="26"/>
        <v>1.768</v>
      </c>
      <c r="N194" s="451">
        <f t="shared" si="29"/>
        <v>16</v>
      </c>
      <c r="O194" s="115" t="s">
        <v>1178</v>
      </c>
      <c r="P194" s="557" t="s">
        <v>914</v>
      </c>
      <c r="Q194" s="988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67" t="s">
        <v>440</v>
      </c>
      <c r="D195" s="65" t="str">
        <f>VLOOKUP(C195,'Location Summary'!$C$4:$D$603,2,0)</f>
        <v>DA+0</v>
      </c>
      <c r="E195" s="65" t="s">
        <v>405</v>
      </c>
      <c r="F195" s="110">
        <v>45653</v>
      </c>
      <c r="G195" s="110">
        <v>45660</v>
      </c>
      <c r="H195" s="63" t="s">
        <v>994</v>
      </c>
      <c r="I195" s="65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5">
        <f t="shared" si="26"/>
        <v>0.86599999999999999</v>
      </c>
      <c r="N195" s="451">
        <f t="shared" si="29"/>
        <v>6.49</v>
      </c>
      <c r="O195" s="115" t="s">
        <v>1182</v>
      </c>
      <c r="P195" s="557" t="s">
        <v>914</v>
      </c>
      <c r="Q195" s="988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7" t="s">
        <v>624</v>
      </c>
      <c r="D196" s="65" t="str">
        <f>VLOOKUP(C196,'Location Summary'!$C$4:$D$603,2,0)</f>
        <v>DA+1.5</v>
      </c>
      <c r="E196" s="65" t="s">
        <v>405</v>
      </c>
      <c r="F196" s="110">
        <v>45653</v>
      </c>
      <c r="G196" s="110">
        <v>45662</v>
      </c>
      <c r="H196" s="63" t="s">
        <v>1169</v>
      </c>
      <c r="I196" s="65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5">
        <f t="shared" si="26"/>
        <v>0.86599999999999999</v>
      </c>
      <c r="N196" s="451">
        <f t="shared" si="29"/>
        <v>7.39</v>
      </c>
      <c r="O196" s="115" t="s">
        <v>1181</v>
      </c>
      <c r="P196" s="557" t="s">
        <v>914</v>
      </c>
      <c r="Q196" s="988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67" t="s">
        <v>636</v>
      </c>
      <c r="D197" s="65" t="str">
        <f>VLOOKUP(C197,'Location Summary'!$C$4:$D$603,2,0)</f>
        <v>DA+9</v>
      </c>
      <c r="E197" s="65" t="s">
        <v>405</v>
      </c>
      <c r="F197" s="110">
        <v>45657</v>
      </c>
      <c r="G197" s="110">
        <v>45662</v>
      </c>
      <c r="H197" s="63" t="s">
        <v>974</v>
      </c>
      <c r="I197" s="65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5">
        <f t="shared" ref="M197:M260" si="34">VLOOKUP($D197,$D$323:$M$362,10,FALSE)</f>
        <v>0.86599999999999999</v>
      </c>
      <c r="N197" s="451">
        <f t="shared" si="29"/>
        <v>7.39</v>
      </c>
      <c r="O197" s="115" t="s">
        <v>1149</v>
      </c>
      <c r="P197" s="557" t="s">
        <v>914</v>
      </c>
      <c r="Q197" s="988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7" t="s">
        <v>394</v>
      </c>
      <c r="D198" s="65" t="str">
        <f>VLOOKUP(C198,'Location Summary'!$C$4:$D$603,2,0)</f>
        <v>DA+9</v>
      </c>
      <c r="E198" s="65" t="s">
        <v>405</v>
      </c>
      <c r="F198" s="110">
        <v>45644</v>
      </c>
      <c r="G198" s="110">
        <v>45663</v>
      </c>
      <c r="H198" s="63" t="s">
        <v>1166</v>
      </c>
      <c r="I198" s="65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5">
        <f t="shared" si="34"/>
        <v>0.86599999999999999</v>
      </c>
      <c r="N198" s="451">
        <f t="shared" si="29"/>
        <v>7.39</v>
      </c>
      <c r="O198" s="115" t="s">
        <v>1185</v>
      </c>
      <c r="P198" s="557" t="s">
        <v>1106</v>
      </c>
      <c r="Q198" s="988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67" t="s">
        <v>441</v>
      </c>
      <c r="D199" s="65" t="str">
        <f>VLOOKUP(C199,'Location Summary'!$C$4:$D$603,2,0)</f>
        <v>DA+6</v>
      </c>
      <c r="E199" s="65" t="s">
        <v>405</v>
      </c>
      <c r="F199" s="110">
        <v>45661</v>
      </c>
      <c r="G199" s="110">
        <v>45664</v>
      </c>
      <c r="H199" s="63" t="s">
        <v>994</v>
      </c>
      <c r="I199" s="65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5">
        <f t="shared" si="34"/>
        <v>0.86599999999999999</v>
      </c>
      <c r="N199" s="451">
        <f t="shared" si="29"/>
        <v>7.39</v>
      </c>
      <c r="O199" s="115" t="s">
        <v>1182</v>
      </c>
      <c r="P199" s="557" t="s">
        <v>914</v>
      </c>
      <c r="Q199" s="988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67" t="s">
        <v>171</v>
      </c>
      <c r="D200" s="65" t="str">
        <f>VLOOKUP(C200,'Location Summary'!$C$4:$D$603,2,0)</f>
        <v>DA+3</v>
      </c>
      <c r="E200" s="65" t="s">
        <v>405</v>
      </c>
      <c r="F200" s="110">
        <v>45660</v>
      </c>
      <c r="G200" s="110">
        <v>45665</v>
      </c>
      <c r="H200" s="63" t="s">
        <v>1175</v>
      </c>
      <c r="I200" s="65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5">
        <f t="shared" si="34"/>
        <v>0.86599999999999999</v>
      </c>
      <c r="N200" s="451">
        <f t="shared" ref="N200:N207" si="36">ROUND((I200*230.35+J200*10150.5+K200*11591.45+L200*93958.18+M200*7677.44)/10^5,2)</f>
        <v>7.39</v>
      </c>
      <c r="O200" s="115" t="s">
        <v>1178</v>
      </c>
      <c r="P200" s="557" t="s">
        <v>914</v>
      </c>
      <c r="Q200" s="988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67" t="s">
        <v>625</v>
      </c>
      <c r="D201" s="65" t="str">
        <f>VLOOKUP(C201,'Location Summary'!$C$4:$D$603,2,0)</f>
        <v>DA+1.5</v>
      </c>
      <c r="E201" s="65" t="s">
        <v>405</v>
      </c>
      <c r="F201" s="110">
        <v>45662</v>
      </c>
      <c r="G201" s="110">
        <v>45666</v>
      </c>
      <c r="H201" s="63" t="s">
        <v>1169</v>
      </c>
      <c r="I201" s="65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5">
        <f t="shared" si="34"/>
        <v>0.86599999999999999</v>
      </c>
      <c r="N201" s="451">
        <f t="shared" si="36"/>
        <v>7.39</v>
      </c>
      <c r="O201" s="115" t="s">
        <v>1181</v>
      </c>
      <c r="P201" s="557" t="s">
        <v>914</v>
      </c>
      <c r="Q201" s="988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67" t="s">
        <v>637</v>
      </c>
      <c r="D202" s="65" t="str">
        <f>VLOOKUP(C202,'Location Summary'!$C$4:$D$603,2,0)</f>
        <v>DA+3</v>
      </c>
      <c r="E202" s="65" t="s">
        <v>405</v>
      </c>
      <c r="F202" s="110">
        <v>45662</v>
      </c>
      <c r="G202" s="110">
        <v>45666</v>
      </c>
      <c r="H202" s="63" t="s">
        <v>974</v>
      </c>
      <c r="I202" s="65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5">
        <f t="shared" si="34"/>
        <v>0.86599999999999999</v>
      </c>
      <c r="N202" s="451">
        <f t="shared" si="36"/>
        <v>7.39</v>
      </c>
      <c r="O202" s="115" t="s">
        <v>1149</v>
      </c>
      <c r="P202" s="557" t="s">
        <v>914</v>
      </c>
      <c r="Q202" s="988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67" t="s">
        <v>442</v>
      </c>
      <c r="D203" s="65" t="str">
        <f>VLOOKUP(C203,'Location Summary'!$C$4:$D$603,2,0)</f>
        <v>DA-3</v>
      </c>
      <c r="E203" s="65" t="s">
        <v>405</v>
      </c>
      <c r="F203" s="110">
        <v>45664</v>
      </c>
      <c r="G203" s="110">
        <v>45667</v>
      </c>
      <c r="H203" s="63" t="s">
        <v>994</v>
      </c>
      <c r="I203" s="65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5">
        <f t="shared" si="34"/>
        <v>0.86599999999999999</v>
      </c>
      <c r="N203" s="451">
        <f t="shared" si="36"/>
        <v>6.49</v>
      </c>
      <c r="O203" s="115" t="s">
        <v>1182</v>
      </c>
      <c r="P203" s="557" t="s">
        <v>914</v>
      </c>
      <c r="Q203" s="988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8" t="s">
        <v>262</v>
      </c>
      <c r="D204" s="65" t="str">
        <f>VLOOKUP(C204,'Location Summary'!$C$4:$D$603,2,0)</f>
        <v>DB1+0</v>
      </c>
      <c r="E204" s="65" t="s">
        <v>405</v>
      </c>
      <c r="F204" s="110">
        <v>45993</v>
      </c>
      <c r="G204" s="110">
        <v>45670</v>
      </c>
      <c r="H204" s="63" t="s">
        <v>990</v>
      </c>
      <c r="I204" s="65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5">
        <f t="shared" si="34"/>
        <v>1.768</v>
      </c>
      <c r="N204" s="451">
        <f t="shared" si="36"/>
        <v>13.01</v>
      </c>
      <c r="O204" s="115" t="s">
        <v>1186</v>
      </c>
      <c r="P204" s="557" t="s">
        <v>1106</v>
      </c>
      <c r="Q204" s="988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8" t="s">
        <v>172</v>
      </c>
      <c r="D205" s="65" t="str">
        <f>VLOOKUP(C205,'Location Summary'!$C$4:$D$603,2,0)</f>
        <v>DA+9</v>
      </c>
      <c r="E205" s="65" t="s">
        <v>405</v>
      </c>
      <c r="F205" s="110">
        <f>G200</f>
        <v>45665</v>
      </c>
      <c r="G205" s="110">
        <v>45670</v>
      </c>
      <c r="H205" s="63" t="s">
        <v>1175</v>
      </c>
      <c r="I205" s="65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5">
        <f t="shared" si="34"/>
        <v>0.86599999999999999</v>
      </c>
      <c r="N205" s="451">
        <f t="shared" si="36"/>
        <v>7.39</v>
      </c>
      <c r="O205" s="115" t="s">
        <v>1178</v>
      </c>
      <c r="P205" s="557" t="s">
        <v>914</v>
      </c>
      <c r="Q205" s="988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8" t="s">
        <v>443</v>
      </c>
      <c r="D206" s="65" t="str">
        <f>VLOOKUP(C206,'Location Summary'!$C$4:$D$603,2,0)</f>
        <v>DA+3</v>
      </c>
      <c r="E206" s="65" t="s">
        <v>405</v>
      </c>
      <c r="F206" s="110">
        <f>G199</f>
        <v>45664</v>
      </c>
      <c r="G206" s="110">
        <v>45670</v>
      </c>
      <c r="H206" s="63" t="s">
        <v>994</v>
      </c>
      <c r="I206" s="65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5">
        <f t="shared" si="34"/>
        <v>0.86599999999999999</v>
      </c>
      <c r="N206" s="451">
        <f t="shared" si="36"/>
        <v>7.39</v>
      </c>
      <c r="O206" s="115" t="s">
        <v>1182</v>
      </c>
      <c r="P206" s="557" t="s">
        <v>914</v>
      </c>
      <c r="Q206" s="988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8" t="s">
        <v>638</v>
      </c>
      <c r="D207" s="65" t="str">
        <f>VLOOKUP(C207,'Location Summary'!$C$4:$D$603,2,0)</f>
        <v>DA+9</v>
      </c>
      <c r="E207" s="65" t="s">
        <v>405</v>
      </c>
      <c r="F207" s="110">
        <f>G202</f>
        <v>45666</v>
      </c>
      <c r="G207" s="110">
        <v>45670</v>
      </c>
      <c r="H207" s="63" t="s">
        <v>974</v>
      </c>
      <c r="I207" s="65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5">
        <f t="shared" si="34"/>
        <v>0.86599999999999999</v>
      </c>
      <c r="N207" s="451">
        <f t="shared" si="36"/>
        <v>7.39</v>
      </c>
      <c r="O207" s="115" t="s">
        <v>1149</v>
      </c>
      <c r="P207" s="557" t="s">
        <v>914</v>
      </c>
      <c r="Q207" s="988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8" t="s">
        <v>55</v>
      </c>
      <c r="D208" s="65" t="str">
        <f>VLOOKUP(C208,'Location Summary'!$C$4:$D$603,2,0)</f>
        <v>DC2+15</v>
      </c>
      <c r="E208" s="65" t="s">
        <v>405</v>
      </c>
      <c r="F208" s="110">
        <v>45993</v>
      </c>
      <c r="G208" s="110">
        <v>45672</v>
      </c>
      <c r="H208" s="63" t="s">
        <v>1142</v>
      </c>
      <c r="I208" s="65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5">
        <f t="shared" si="34"/>
        <v>2.2349290000000002</v>
      </c>
      <c r="N208" s="451">
        <f>ROUND((I208*230.35+J208*10150.5+K208*11591.45+L208*93958.18+M208*7677.44)/10^5,2)</f>
        <v>21.18</v>
      </c>
      <c r="O208" s="115" t="s">
        <v>1185</v>
      </c>
      <c r="P208" s="557" t="s">
        <v>1106</v>
      </c>
      <c r="Q208" s="988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8" t="s">
        <v>444</v>
      </c>
      <c r="D209" s="65" t="str">
        <f>VLOOKUP(C209,'Location Summary'!$C$4:$D$603,2,0)</f>
        <v>DA-3</v>
      </c>
      <c r="E209" s="65" t="s">
        <v>405</v>
      </c>
      <c r="F209" s="110">
        <f>G206</f>
        <v>45670</v>
      </c>
      <c r="G209" s="110">
        <v>45674</v>
      </c>
      <c r="H209" s="63" t="s">
        <v>994</v>
      </c>
      <c r="I209" s="65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5">
        <f t="shared" si="34"/>
        <v>0.86599999999999999</v>
      </c>
      <c r="N209" s="451">
        <f>ROUND((I209*230.35+J209*10150.5+K209*11591.45+L209*93958.18+M209*7677.44)/10^5,2)</f>
        <v>6.49</v>
      </c>
      <c r="O209" s="115" t="s">
        <v>1182</v>
      </c>
      <c r="P209" s="557" t="s">
        <v>914</v>
      </c>
      <c r="Q209" s="988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8" t="s">
        <v>626</v>
      </c>
      <c r="D210" s="65" t="str">
        <f>VLOOKUP(C210,'Location Summary'!$C$4:$D$603,2,0)</f>
        <v>DA+3</v>
      </c>
      <c r="E210" s="65" t="s">
        <v>405</v>
      </c>
      <c r="F210" s="110">
        <f>G201</f>
        <v>45666</v>
      </c>
      <c r="G210" s="110">
        <v>45674</v>
      </c>
      <c r="H210" s="63" t="s">
        <v>1169</v>
      </c>
      <c r="I210" s="65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5">
        <f t="shared" si="34"/>
        <v>0.86599999999999999</v>
      </c>
      <c r="N210" s="451">
        <f>ROUND((I210*230.35+J210*10150.5+K210*11591.45+L210*93958.18+M210*7677.44)/10^5,2)</f>
        <v>7.39</v>
      </c>
      <c r="O210" s="115" t="s">
        <v>1181</v>
      </c>
      <c r="P210" s="557" t="s">
        <v>914</v>
      </c>
      <c r="Q210" s="988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8" t="s">
        <v>75</v>
      </c>
      <c r="D211" s="65" t="str">
        <f>VLOOKUP(C211,'Location Summary'!$C$4:$D$603,2,0)</f>
        <v>DB1+9</v>
      </c>
      <c r="E211" s="65" t="s">
        <v>405</v>
      </c>
      <c r="F211" s="110">
        <f>G205</f>
        <v>45670</v>
      </c>
      <c r="G211" s="110">
        <v>45676</v>
      </c>
      <c r="H211" s="63" t="s">
        <v>1175</v>
      </c>
      <c r="I211" s="65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5">
        <f t="shared" si="34"/>
        <v>1.768</v>
      </c>
      <c r="N211" s="451">
        <f>ROUND((I211*230.35+J211*10150.5+K211*11591.45+L211*93958.18+M211*7677.44)/10^5,2)</f>
        <v>13.2</v>
      </c>
      <c r="O211" s="115" t="s">
        <v>1178</v>
      </c>
      <c r="P211" s="557" t="s">
        <v>914</v>
      </c>
      <c r="Q211" s="988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8" t="s">
        <v>640</v>
      </c>
      <c r="D212" s="65" t="str">
        <f>VLOOKUP(C212,'Location Summary'!$C$4:$D$603,2,0)</f>
        <v>DB1+9</v>
      </c>
      <c r="E212" s="65" t="s">
        <v>405</v>
      </c>
      <c r="F212" s="110">
        <f>G207</f>
        <v>45670</v>
      </c>
      <c r="G212" s="110">
        <v>45677</v>
      </c>
      <c r="H212" s="63" t="s">
        <v>974</v>
      </c>
      <c r="I212" s="65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5">
        <f t="shared" si="34"/>
        <v>1.768</v>
      </c>
      <c r="N212" s="451">
        <f t="shared" ref="N212:N217" si="37">ROUND((I212*230.35+J212*10150.5+K212*11591.45+L212*93958.18+M212*7677.44)/10^5,2)</f>
        <v>13.2</v>
      </c>
      <c r="O212" s="115" t="s">
        <v>1182</v>
      </c>
      <c r="P212" s="557" t="s">
        <v>914</v>
      </c>
      <c r="Q212" s="988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8" t="s">
        <v>264</v>
      </c>
      <c r="D213" s="65" t="str">
        <f>VLOOKUP(C213,'Location Summary'!$C$4:$D$603,2,0)</f>
        <v>DB1+6</v>
      </c>
      <c r="E213" s="65" t="s">
        <v>405</v>
      </c>
      <c r="F213" s="110">
        <f>G204</f>
        <v>45670</v>
      </c>
      <c r="G213" s="110">
        <v>45678</v>
      </c>
      <c r="H213" s="63" t="s">
        <v>990</v>
      </c>
      <c r="I213" s="65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5">
        <f t="shared" si="34"/>
        <v>1.768</v>
      </c>
      <c r="N213" s="451">
        <f t="shared" si="37"/>
        <v>13.2</v>
      </c>
      <c r="O213" s="115" t="s">
        <v>1186</v>
      </c>
      <c r="P213" s="557" t="s">
        <v>1106</v>
      </c>
      <c r="Q213" s="988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8" t="s">
        <v>445</v>
      </c>
      <c r="D214" s="65" t="str">
        <f>VLOOKUP(C214,'Location Summary'!$C$4:$D$603,2,0)</f>
        <v>DA+3</v>
      </c>
      <c r="E214" s="65" t="s">
        <v>405</v>
      </c>
      <c r="F214" s="110">
        <f>G209</f>
        <v>45674</v>
      </c>
      <c r="G214" s="110">
        <v>45678</v>
      </c>
      <c r="H214" s="63" t="s">
        <v>994</v>
      </c>
      <c r="I214" s="65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5">
        <f t="shared" si="34"/>
        <v>0.86599999999999999</v>
      </c>
      <c r="N214" s="451">
        <f t="shared" si="37"/>
        <v>7.39</v>
      </c>
      <c r="O214" s="115" t="s">
        <v>1193</v>
      </c>
      <c r="P214" s="557" t="s">
        <v>767</v>
      </c>
      <c r="Q214" s="988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8" t="s">
        <v>650</v>
      </c>
      <c r="D215" s="65" t="str">
        <f>VLOOKUP(C215,'Location Summary'!$C$4:$D$603,2,0)</f>
        <v>DA+0</v>
      </c>
      <c r="E215" s="65" t="s">
        <v>405</v>
      </c>
      <c r="F215" s="110">
        <v>45672</v>
      </c>
      <c r="G215" s="110">
        <v>45678</v>
      </c>
      <c r="H215" s="63" t="s">
        <v>888</v>
      </c>
      <c r="I215" s="65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5">
        <f t="shared" si="34"/>
        <v>0.86599999999999999</v>
      </c>
      <c r="N215" s="451">
        <f t="shared" si="37"/>
        <v>6.49</v>
      </c>
      <c r="O215" s="115" t="s">
        <v>1191</v>
      </c>
      <c r="P215" s="557" t="s">
        <v>914</v>
      </c>
      <c r="Q215" s="988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8" t="s">
        <v>56</v>
      </c>
      <c r="D216" s="65" t="str">
        <f>VLOOKUP(C216,'Location Summary'!$C$4:$D$603,2,0)</f>
        <v>DB2+9</v>
      </c>
      <c r="E216" s="65" t="s">
        <v>405</v>
      </c>
      <c r="F216" s="110">
        <v>45672</v>
      </c>
      <c r="G216" s="110">
        <v>45679</v>
      </c>
      <c r="H216" s="63" t="s">
        <v>1142</v>
      </c>
      <c r="I216" s="65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5">
        <f t="shared" si="34"/>
        <v>1.768</v>
      </c>
      <c r="N216" s="451">
        <f t="shared" si="37"/>
        <v>16.2</v>
      </c>
      <c r="O216" s="115" t="s">
        <v>1185</v>
      </c>
      <c r="P216" s="557" t="s">
        <v>1106</v>
      </c>
      <c r="Q216" s="988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8" t="s">
        <v>646</v>
      </c>
      <c r="D217" s="65" t="str">
        <f>VLOOKUP(C217,'Location Summary'!$C$4:$D$603,2,0)</f>
        <v>DA-1.5</v>
      </c>
      <c r="E217" s="65" t="s">
        <v>405</v>
      </c>
      <c r="F217" s="110">
        <f>G212</f>
        <v>45677</v>
      </c>
      <c r="G217" s="110">
        <v>45680</v>
      </c>
      <c r="H217" s="63" t="s">
        <v>974</v>
      </c>
      <c r="I217" s="65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5">
        <f t="shared" si="34"/>
        <v>0.86599999999999999</v>
      </c>
      <c r="N217" s="451">
        <f t="shared" si="37"/>
        <v>6.49</v>
      </c>
      <c r="O217" s="115" t="s">
        <v>1182</v>
      </c>
      <c r="P217" s="557" t="s">
        <v>914</v>
      </c>
      <c r="Q217" s="988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8" t="s">
        <v>627</v>
      </c>
      <c r="D218" s="65" t="str">
        <f>VLOOKUP(C218,'Location Summary'!$C$4:$D$603,2,0)</f>
        <v>DA+1.5</v>
      </c>
      <c r="E218" s="65" t="s">
        <v>405</v>
      </c>
      <c r="F218" s="110">
        <v>45674</v>
      </c>
      <c r="G218" s="110">
        <v>45681</v>
      </c>
      <c r="H218" s="63" t="s">
        <v>1169</v>
      </c>
      <c r="I218" s="65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5">
        <f t="shared" si="34"/>
        <v>0.86599999999999999</v>
      </c>
      <c r="N218" s="451">
        <f t="shared" ref="N218:N223" si="38">ROUND((I218*230.35+J218*10150.5+K218*11591.45+L218*93958.18+M218*7677.44)/10^5,2)</f>
        <v>7.39</v>
      </c>
      <c r="O218" s="115" t="s">
        <v>1192</v>
      </c>
      <c r="P218" s="557" t="s">
        <v>914</v>
      </c>
      <c r="Q218" s="988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8" t="s">
        <v>395</v>
      </c>
      <c r="D219" s="65" t="str">
        <f>VLOOKUP(C219,'Location Summary'!$C$4:$D$603,2,0)</f>
        <v>DA+6</v>
      </c>
      <c r="E219" s="65" t="s">
        <v>405</v>
      </c>
      <c r="F219" s="110">
        <v>45663</v>
      </c>
      <c r="G219" s="110">
        <v>45681</v>
      </c>
      <c r="H219" s="63" t="s">
        <v>1166</v>
      </c>
      <c r="I219" s="65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5">
        <f t="shared" si="34"/>
        <v>0.86599999999999999</v>
      </c>
      <c r="N219" s="451">
        <f t="shared" si="38"/>
        <v>7.39</v>
      </c>
      <c r="O219" s="115" t="s">
        <v>1185</v>
      </c>
      <c r="P219" s="557" t="s">
        <v>1106</v>
      </c>
      <c r="Q219" s="988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8" t="s">
        <v>78</v>
      </c>
      <c r="D220" s="65" t="str">
        <f>VLOOKUP(C220,'Location Summary'!$C$4:$D$603,2,0)</f>
        <v>DB1+0</v>
      </c>
      <c r="E220" s="65" t="s">
        <v>405</v>
      </c>
      <c r="F220" s="110">
        <f>G211</f>
        <v>45676</v>
      </c>
      <c r="G220" s="110">
        <v>45682</v>
      </c>
      <c r="H220" s="63" t="s">
        <v>1175</v>
      </c>
      <c r="I220" s="65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5">
        <f t="shared" si="34"/>
        <v>1.768</v>
      </c>
      <c r="N220" s="451">
        <f t="shared" si="38"/>
        <v>13.01</v>
      </c>
      <c r="O220" s="115" t="s">
        <v>793</v>
      </c>
      <c r="P220" s="557" t="s">
        <v>914</v>
      </c>
      <c r="Q220" s="988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8" t="s">
        <v>651</v>
      </c>
      <c r="D221" s="65" t="str">
        <f>VLOOKUP(C221,'Location Summary'!$C$4:$D$603,2,0)</f>
        <v>DA+9</v>
      </c>
      <c r="E221" s="65" t="s">
        <v>405</v>
      </c>
      <c r="F221" s="110">
        <f>G215</f>
        <v>45678</v>
      </c>
      <c r="G221" s="110">
        <v>45682</v>
      </c>
      <c r="H221" s="63" t="s">
        <v>888</v>
      </c>
      <c r="I221" s="65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5">
        <f t="shared" si="34"/>
        <v>0.86599999999999999</v>
      </c>
      <c r="N221" s="451">
        <f t="shared" si="38"/>
        <v>7.39</v>
      </c>
      <c r="O221" s="115" t="s">
        <v>1191</v>
      </c>
      <c r="P221" s="557" t="s">
        <v>914</v>
      </c>
      <c r="Q221" s="988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8" t="s">
        <v>308</v>
      </c>
      <c r="D222" s="65" t="str">
        <f>VLOOKUP(C222,'Location Summary'!$C$4:$D$603,2,0)</f>
        <v>DA+6</v>
      </c>
      <c r="E222" s="65" t="s">
        <v>405</v>
      </c>
      <c r="F222" s="110">
        <v>45679</v>
      </c>
      <c r="G222" s="110">
        <v>45684</v>
      </c>
      <c r="H222" s="63" t="s">
        <v>990</v>
      </c>
      <c r="I222" s="65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5">
        <f t="shared" si="34"/>
        <v>0.86599999999999999</v>
      </c>
      <c r="N222" s="451">
        <f t="shared" si="38"/>
        <v>7.39</v>
      </c>
      <c r="O222" s="115" t="s">
        <v>1186</v>
      </c>
      <c r="P222" s="557" t="s">
        <v>1106</v>
      </c>
      <c r="Q222" s="988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8" t="s">
        <v>647</v>
      </c>
      <c r="D223" s="65" t="str">
        <f>VLOOKUP(C223,'Location Summary'!$C$4:$D$603,2,0)</f>
        <v>DA+0</v>
      </c>
      <c r="E223" s="65" t="s">
        <v>405</v>
      </c>
      <c r="F223" s="110">
        <v>45680</v>
      </c>
      <c r="G223" s="110">
        <v>45685</v>
      </c>
      <c r="H223" s="63" t="s">
        <v>974</v>
      </c>
      <c r="I223" s="65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5">
        <f t="shared" si="34"/>
        <v>0.86599999999999999</v>
      </c>
      <c r="N223" s="451">
        <f t="shared" si="38"/>
        <v>6.49</v>
      </c>
      <c r="O223" s="115" t="s">
        <v>1182</v>
      </c>
      <c r="P223" s="557" t="s">
        <v>914</v>
      </c>
      <c r="Q223" s="988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8" t="s">
        <v>9</v>
      </c>
      <c r="D224" s="65" t="str">
        <f>VLOOKUP(C224,'Location Summary'!$C$4:$D$603,2,0)</f>
        <v>DB1+0</v>
      </c>
      <c r="E224" s="65" t="s">
        <v>405</v>
      </c>
      <c r="F224" s="110">
        <v>45677</v>
      </c>
      <c r="G224" s="110">
        <v>45686</v>
      </c>
      <c r="H224" s="63" t="s">
        <v>994</v>
      </c>
      <c r="I224" s="65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5">
        <f t="shared" si="34"/>
        <v>1.768</v>
      </c>
      <c r="N224" s="626">
        <f t="shared" ref="N224:N230" si="39">ROUND((I224*230.35+J224*10150.5+K224*11591.45+L224*93958.18+M224*7677.44)/10^5,2)</f>
        <v>13.01</v>
      </c>
      <c r="O224" s="115" t="s">
        <v>1193</v>
      </c>
      <c r="P224" s="557" t="s">
        <v>767</v>
      </c>
      <c r="Q224" s="988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8" t="s">
        <v>676</v>
      </c>
      <c r="D225" s="65" t="str">
        <f>VLOOKUP(C225,'Location Summary'!$C$4:$D$603,2,0)</f>
        <v>DB1+9</v>
      </c>
      <c r="E225" s="65" t="s">
        <v>405</v>
      </c>
      <c r="F225" s="110">
        <v>45680</v>
      </c>
      <c r="G225" s="110">
        <v>45687</v>
      </c>
      <c r="H225" s="63" t="s">
        <v>1142</v>
      </c>
      <c r="I225" s="65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5">
        <f t="shared" si="34"/>
        <v>1.768</v>
      </c>
      <c r="N225" s="626">
        <f t="shared" si="39"/>
        <v>13.2</v>
      </c>
      <c r="O225" s="115" t="s">
        <v>1185</v>
      </c>
      <c r="P225" s="557" t="s">
        <v>1106</v>
      </c>
      <c r="Q225" s="988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8" t="s">
        <v>1790</v>
      </c>
      <c r="D226" s="65" t="str">
        <f>VLOOKUP(C226,'Location Summary'!$C$4:$D$603,2,0)</f>
        <v>DB1+9</v>
      </c>
      <c r="E226" s="65" t="s">
        <v>405</v>
      </c>
      <c r="F226" s="110">
        <v>45684</v>
      </c>
      <c r="G226" s="110">
        <v>45688</v>
      </c>
      <c r="H226" s="63" t="s">
        <v>1175</v>
      </c>
      <c r="I226" s="65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5">
        <f t="shared" si="34"/>
        <v>1.768</v>
      </c>
      <c r="N226" s="626">
        <f t="shared" si="39"/>
        <v>13.2</v>
      </c>
      <c r="O226" s="115" t="s">
        <v>793</v>
      </c>
      <c r="P226" s="557" t="s">
        <v>914</v>
      </c>
      <c r="Q226" s="988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8" t="s">
        <v>628</v>
      </c>
      <c r="D227" s="65" t="str">
        <f>VLOOKUP(C227,'Location Summary'!$C$4:$D$603,2,0)</f>
        <v>DA+6</v>
      </c>
      <c r="E227" s="65" t="s">
        <v>405</v>
      </c>
      <c r="F227" s="110">
        <v>45681</v>
      </c>
      <c r="G227" s="110">
        <v>45688</v>
      </c>
      <c r="H227" s="63" t="s">
        <v>1169</v>
      </c>
      <c r="I227" s="65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5">
        <f t="shared" si="34"/>
        <v>0.86599999999999999</v>
      </c>
      <c r="N227" s="626">
        <f t="shared" si="39"/>
        <v>7.39</v>
      </c>
      <c r="O227" s="115" t="s">
        <v>1192</v>
      </c>
      <c r="P227" s="557" t="s">
        <v>914</v>
      </c>
      <c r="Q227" s="988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8" t="s">
        <v>66</v>
      </c>
      <c r="D228" s="65" t="str">
        <f>VLOOKUP(C228,'Location Summary'!$C$4:$D$603,2,0)</f>
        <v>DA+6</v>
      </c>
      <c r="E228" s="65" t="s">
        <v>405</v>
      </c>
      <c r="F228" s="110">
        <v>45681</v>
      </c>
      <c r="G228" s="110">
        <v>45688</v>
      </c>
      <c r="H228" s="63" t="s">
        <v>1164</v>
      </c>
      <c r="I228" s="65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5">
        <f t="shared" si="34"/>
        <v>0.86599999999999999</v>
      </c>
      <c r="N228" s="626">
        <f t="shared" si="39"/>
        <v>7.39</v>
      </c>
      <c r="O228" s="115" t="s">
        <v>453</v>
      </c>
      <c r="P228" s="557" t="s">
        <v>767</v>
      </c>
      <c r="Q228" s="988" t="s">
        <v>255</v>
      </c>
      <c r="R228" s="13">
        <f t="shared" si="35"/>
        <v>314.28399999999999</v>
      </c>
    </row>
    <row r="229" spans="1:18" s="776" customFormat="1" ht="21.75" customHeight="1">
      <c r="A229" s="14">
        <f>SUBTOTAL(103,$C$5:C229)</f>
        <v>225</v>
      </c>
      <c r="B229" s="628">
        <v>1</v>
      </c>
      <c r="C229" s="697" t="s">
        <v>163</v>
      </c>
      <c r="D229" s="628" t="str">
        <f>VLOOKUP(C229,'Location Summary'!$C$4:$D$603,2,0)</f>
        <v>DA+1.5</v>
      </c>
      <c r="E229" s="628" t="s">
        <v>405</v>
      </c>
      <c r="F229" s="774">
        <v>45686</v>
      </c>
      <c r="G229" s="774">
        <v>45689</v>
      </c>
      <c r="H229" s="672" t="s">
        <v>994</v>
      </c>
      <c r="I229" s="628">
        <f t="shared" si="30"/>
        <v>289.83999999999997</v>
      </c>
      <c r="J229" s="628">
        <f t="shared" si="31"/>
        <v>3.61</v>
      </c>
      <c r="K229" s="628">
        <f t="shared" si="32"/>
        <v>37.299999999999997</v>
      </c>
      <c r="L229" s="628">
        <f t="shared" si="33"/>
        <v>2.093</v>
      </c>
      <c r="M229" s="629">
        <f t="shared" si="34"/>
        <v>0.86599999999999999</v>
      </c>
      <c r="N229" s="775">
        <f t="shared" si="39"/>
        <v>7.39</v>
      </c>
      <c r="O229" s="629" t="s">
        <v>1193</v>
      </c>
      <c r="P229" s="629" t="s">
        <v>767</v>
      </c>
      <c r="Q229" s="988" t="s">
        <v>255</v>
      </c>
      <c r="R229" s="13">
        <f t="shared" si="35"/>
        <v>314.28399999999999</v>
      </c>
    </row>
    <row r="230" spans="1:18" s="311" customFormat="1" ht="21.75" customHeight="1">
      <c r="A230" s="14">
        <f>SUBTOTAL(103,$C$5:C230)</f>
        <v>226</v>
      </c>
      <c r="B230" s="65">
        <v>2</v>
      </c>
      <c r="C230" s="668" t="s">
        <v>649</v>
      </c>
      <c r="D230" s="65" t="str">
        <f>VLOOKUP(C230,'Location Summary'!$C$4:$D$603,2,0)</f>
        <v>DA+3</v>
      </c>
      <c r="E230" s="65" t="s">
        <v>405</v>
      </c>
      <c r="F230" s="732">
        <f>G223</f>
        <v>45685</v>
      </c>
      <c r="G230" s="732">
        <v>45690</v>
      </c>
      <c r="H230" s="64" t="s">
        <v>974</v>
      </c>
      <c r="I230" s="65">
        <f t="shared" si="30"/>
        <v>289.83999999999997</v>
      </c>
      <c r="J230" s="65">
        <f t="shared" si="31"/>
        <v>3.61</v>
      </c>
      <c r="K230" s="65">
        <f t="shared" si="32"/>
        <v>37.299999999999997</v>
      </c>
      <c r="L230" s="65">
        <f t="shared" si="33"/>
        <v>2.093</v>
      </c>
      <c r="M230" s="557">
        <f t="shared" si="34"/>
        <v>0.86599999999999999</v>
      </c>
      <c r="N230" s="773">
        <f t="shared" si="39"/>
        <v>7.39</v>
      </c>
      <c r="O230" s="557" t="s">
        <v>1182</v>
      </c>
      <c r="P230" s="557" t="s">
        <v>914</v>
      </c>
      <c r="Q230" s="988" t="s">
        <v>255</v>
      </c>
      <c r="R230" s="13">
        <f t="shared" si="35"/>
        <v>314.28399999999999</v>
      </c>
    </row>
    <row r="231" spans="1:18" s="311" customFormat="1" ht="21.75" customHeight="1">
      <c r="A231" s="14">
        <f>SUBTOTAL(103,$C$5:C231)</f>
        <v>227</v>
      </c>
      <c r="B231" s="65">
        <v>3</v>
      </c>
      <c r="C231" s="668" t="s">
        <v>426</v>
      </c>
      <c r="D231" s="65" t="str">
        <f>VLOOKUP(C231,'Location Summary'!$C$4:$D$603,2,0)</f>
        <v>DA+1.5</v>
      </c>
      <c r="E231" s="65" t="s">
        <v>405</v>
      </c>
      <c r="F231" s="732">
        <f>G225</f>
        <v>45687</v>
      </c>
      <c r="G231" s="732">
        <v>45692</v>
      </c>
      <c r="H231" s="64" t="s">
        <v>1142</v>
      </c>
      <c r="I231" s="65">
        <f t="shared" si="30"/>
        <v>289.83999999999997</v>
      </c>
      <c r="J231" s="65">
        <f t="shared" si="31"/>
        <v>3.61</v>
      </c>
      <c r="K231" s="65">
        <f t="shared" si="32"/>
        <v>37.299999999999997</v>
      </c>
      <c r="L231" s="65">
        <f t="shared" si="33"/>
        <v>2.093</v>
      </c>
      <c r="M231" s="557">
        <f t="shared" si="34"/>
        <v>0.86599999999999999</v>
      </c>
      <c r="N231" s="773">
        <f t="shared" ref="N231:N236" si="40">ROUND((I231*230.35+J231*10150.5+K231*11591.45+L231*93958.18+M231*7677.44)/10^5,2)</f>
        <v>7.39</v>
      </c>
      <c r="O231" s="557" t="s">
        <v>1165</v>
      </c>
      <c r="P231" s="557" t="s">
        <v>1106</v>
      </c>
      <c r="Q231" s="988" t="s">
        <v>255</v>
      </c>
      <c r="R231" s="13">
        <f t="shared" si="35"/>
        <v>314.28399999999999</v>
      </c>
    </row>
    <row r="232" spans="1:18" s="311" customFormat="1" ht="21.75" customHeight="1">
      <c r="A232" s="14">
        <f>SUBTOTAL(103,$C$5:C232)</f>
        <v>228</v>
      </c>
      <c r="B232" s="65">
        <v>4</v>
      </c>
      <c r="C232" s="668" t="s">
        <v>7</v>
      </c>
      <c r="D232" s="65" t="str">
        <f>VLOOKUP(C232,'Location Summary'!$C$4:$D$603,2,0)</f>
        <v>DB1+6</v>
      </c>
      <c r="E232" s="65" t="s">
        <v>405</v>
      </c>
      <c r="F232" s="732">
        <v>45682</v>
      </c>
      <c r="G232" s="732">
        <v>45692</v>
      </c>
      <c r="H232" s="64" t="s">
        <v>888</v>
      </c>
      <c r="I232" s="65">
        <f t="shared" si="30"/>
        <v>484.04</v>
      </c>
      <c r="J232" s="65">
        <f t="shared" si="31"/>
        <v>6.23</v>
      </c>
      <c r="K232" s="65">
        <f t="shared" si="32"/>
        <v>70.319999999999993</v>
      </c>
      <c r="L232" s="65">
        <f t="shared" si="33"/>
        <v>3.3719999999999999</v>
      </c>
      <c r="M232" s="557">
        <f t="shared" si="34"/>
        <v>1.768</v>
      </c>
      <c r="N232" s="773">
        <f t="shared" si="40"/>
        <v>13.2</v>
      </c>
      <c r="O232" s="557" t="s">
        <v>1191</v>
      </c>
      <c r="P232" s="557" t="s">
        <v>914</v>
      </c>
      <c r="Q232" s="988" t="s">
        <v>255</v>
      </c>
      <c r="R232" s="13">
        <f t="shared" si="35"/>
        <v>589.97199999999998</v>
      </c>
    </row>
    <row r="233" spans="1:18" s="311" customFormat="1" ht="21.75" customHeight="1">
      <c r="A233" s="14">
        <f>SUBTOTAL(103,$C$5:C233)</f>
        <v>229</v>
      </c>
      <c r="B233" s="65">
        <v>5</v>
      </c>
      <c r="C233" s="668" t="s">
        <v>165</v>
      </c>
      <c r="D233" s="65" t="str">
        <f>VLOOKUP(C233,'Location Summary'!$C$4:$D$603,2,0)</f>
        <v>DA+9</v>
      </c>
      <c r="E233" s="65" t="s">
        <v>405</v>
      </c>
      <c r="F233" s="732">
        <f>G228</f>
        <v>45688</v>
      </c>
      <c r="G233" s="732">
        <v>45692</v>
      </c>
      <c r="H233" s="64" t="s">
        <v>1164</v>
      </c>
      <c r="I233" s="65">
        <f t="shared" si="30"/>
        <v>289.83999999999997</v>
      </c>
      <c r="J233" s="65">
        <f t="shared" si="31"/>
        <v>3.61</v>
      </c>
      <c r="K233" s="65">
        <f t="shared" si="32"/>
        <v>37.299999999999997</v>
      </c>
      <c r="L233" s="65">
        <f t="shared" si="33"/>
        <v>2.093</v>
      </c>
      <c r="M233" s="557">
        <f t="shared" si="34"/>
        <v>0.86599999999999999</v>
      </c>
      <c r="N233" s="773">
        <f t="shared" si="40"/>
        <v>7.39</v>
      </c>
      <c r="O233" s="557" t="s">
        <v>1140</v>
      </c>
      <c r="P233" s="557" t="s">
        <v>767</v>
      </c>
      <c r="Q233" s="988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8" t="s">
        <v>644</v>
      </c>
      <c r="D234" s="65" t="str">
        <f>VLOOKUP(C234,'Location Summary'!$C$4:$D$603,2,0)</f>
        <v>DA-1.5</v>
      </c>
      <c r="E234" s="65" t="s">
        <v>405</v>
      </c>
      <c r="F234" s="110">
        <v>45689</v>
      </c>
      <c r="G234" s="110">
        <f>F234+4</f>
        <v>45693</v>
      </c>
      <c r="H234" s="63" t="s">
        <v>1175</v>
      </c>
      <c r="I234" s="65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5">
        <f t="shared" si="34"/>
        <v>0.86599999999999999</v>
      </c>
      <c r="N234" s="626">
        <f t="shared" si="40"/>
        <v>6.49</v>
      </c>
      <c r="O234" s="115" t="s">
        <v>1185</v>
      </c>
      <c r="P234" s="557" t="s">
        <v>914</v>
      </c>
      <c r="Q234" s="988" t="s">
        <v>255</v>
      </c>
      <c r="R234" s="13">
        <f t="shared" si="35"/>
        <v>287.98399999999998</v>
      </c>
    </row>
    <row r="235" spans="1:18" s="311" customFormat="1" ht="21.75" customHeight="1">
      <c r="A235" s="14">
        <f>SUBTOTAL(103,$C$5:C235)</f>
        <v>231</v>
      </c>
      <c r="B235" s="65">
        <v>7</v>
      </c>
      <c r="C235" s="668" t="s">
        <v>446</v>
      </c>
      <c r="D235" s="65" t="str">
        <f>VLOOKUP(C235,'Location Summary'!$C$4:$D$603,2,0)</f>
        <v>DA-1.5</v>
      </c>
      <c r="E235" s="65" t="s">
        <v>405</v>
      </c>
      <c r="F235" s="732">
        <f>G229</f>
        <v>45689</v>
      </c>
      <c r="G235" s="732">
        <v>45695</v>
      </c>
      <c r="H235" s="64" t="s">
        <v>994</v>
      </c>
      <c r="I235" s="65">
        <f t="shared" si="30"/>
        <v>271.04000000000002</v>
      </c>
      <c r="J235" s="65">
        <f t="shared" si="31"/>
        <v>3.36</v>
      </c>
      <c r="K235" s="65">
        <f t="shared" si="32"/>
        <v>34.15</v>
      </c>
      <c r="L235" s="65">
        <f t="shared" si="33"/>
        <v>1.599</v>
      </c>
      <c r="M235" s="557">
        <f t="shared" si="34"/>
        <v>0.86599999999999999</v>
      </c>
      <c r="N235" s="773">
        <f t="shared" si="40"/>
        <v>6.49</v>
      </c>
      <c r="O235" s="557" t="s">
        <v>1193</v>
      </c>
      <c r="P235" s="557" t="s">
        <v>767</v>
      </c>
      <c r="Q235" s="988" t="s">
        <v>255</v>
      </c>
      <c r="R235" s="13">
        <f t="shared" si="35"/>
        <v>287.98399999999998</v>
      </c>
    </row>
    <row r="236" spans="1:18" s="311" customFormat="1" ht="21.75" customHeight="1">
      <c r="A236" s="14">
        <f>SUBTOTAL(103,$C$5:C236)</f>
        <v>232</v>
      </c>
      <c r="B236" s="65">
        <v>8</v>
      </c>
      <c r="C236" s="668" t="s">
        <v>645</v>
      </c>
      <c r="D236" s="65" t="str">
        <f>VLOOKUP(C236,'Location Summary'!$C$4:$D$603,2,0)</f>
        <v>DA+6</v>
      </c>
      <c r="E236" s="65" t="s">
        <v>405</v>
      </c>
      <c r="F236" s="732">
        <f>G234+1</f>
        <v>45694</v>
      </c>
      <c r="G236" s="732">
        <v>45696</v>
      </c>
      <c r="H236" s="64" t="s">
        <v>1175</v>
      </c>
      <c r="I236" s="65">
        <f t="shared" si="30"/>
        <v>289.83999999999997</v>
      </c>
      <c r="J236" s="65">
        <f t="shared" si="31"/>
        <v>3.61</v>
      </c>
      <c r="K236" s="65">
        <f t="shared" si="32"/>
        <v>37.299999999999997</v>
      </c>
      <c r="L236" s="65">
        <f t="shared" si="33"/>
        <v>2.093</v>
      </c>
      <c r="M236" s="557">
        <f t="shared" si="34"/>
        <v>0.86599999999999999</v>
      </c>
      <c r="N236" s="773">
        <f t="shared" si="40"/>
        <v>7.39</v>
      </c>
      <c r="O236" s="557" t="s">
        <v>1185</v>
      </c>
      <c r="P236" s="557" t="s">
        <v>914</v>
      </c>
      <c r="Q236" s="988" t="s">
        <v>255</v>
      </c>
      <c r="R236" s="13">
        <f t="shared" si="35"/>
        <v>314.28399999999999</v>
      </c>
    </row>
    <row r="237" spans="1:18" s="311" customFormat="1" ht="21.75" customHeight="1">
      <c r="A237" s="14">
        <f>SUBTOTAL(103,$C$5:C237)</f>
        <v>233</v>
      </c>
      <c r="B237" s="65">
        <v>9</v>
      </c>
      <c r="C237" s="668" t="s">
        <v>1791</v>
      </c>
      <c r="D237" s="65" t="str">
        <f>VLOOKUP(C237,'Location Summary'!$C$4:$D$603,2,0)</f>
        <v>DC2+0</v>
      </c>
      <c r="E237" s="65" t="s">
        <v>405</v>
      </c>
      <c r="F237" s="732">
        <f>G227</f>
        <v>45688</v>
      </c>
      <c r="G237" s="732">
        <v>45697</v>
      </c>
      <c r="H237" s="64" t="s">
        <v>974</v>
      </c>
      <c r="I237" s="65">
        <f t="shared" si="30"/>
        <v>693.86</v>
      </c>
      <c r="J237" s="65">
        <f t="shared" si="31"/>
        <v>9.09</v>
      </c>
      <c r="K237" s="65">
        <f t="shared" si="32"/>
        <v>115.43</v>
      </c>
      <c r="L237" s="65">
        <f t="shared" si="33"/>
        <v>5.6909999999999998</v>
      </c>
      <c r="M237" s="557">
        <f t="shared" si="34"/>
        <v>2.348757</v>
      </c>
      <c r="N237" s="773">
        <f t="shared" ref="N237:N242" si="41">ROUND((I237*230.35+J237*10150.5+K237*11591.45+L237*93958.18+M237*7677.44)/10^5,2)</f>
        <v>21.43</v>
      </c>
      <c r="O237" s="557" t="s">
        <v>1182</v>
      </c>
      <c r="P237" s="557" t="s">
        <v>914</v>
      </c>
      <c r="Q237" s="988" t="s">
        <v>255</v>
      </c>
      <c r="R237" s="13">
        <f t="shared" si="35"/>
        <v>963.43600000000004</v>
      </c>
    </row>
    <row r="238" spans="1:18" s="311" customFormat="1" ht="21.75" customHeight="1">
      <c r="A238" s="14">
        <f>SUBTOTAL(103,$C$5:C238)</f>
        <v>234</v>
      </c>
      <c r="B238" s="65">
        <v>10</v>
      </c>
      <c r="C238" s="668" t="s">
        <v>10</v>
      </c>
      <c r="D238" s="65" t="str">
        <f>VLOOKUP(C238,'Location Summary'!$C$4:$D$603,2,0)</f>
        <v>DB2+0</v>
      </c>
      <c r="E238" s="65" t="s">
        <v>405</v>
      </c>
      <c r="F238" s="732">
        <v>45693</v>
      </c>
      <c r="G238" s="732">
        <v>45697</v>
      </c>
      <c r="H238" s="64" t="s">
        <v>1164</v>
      </c>
      <c r="I238" s="65">
        <f t="shared" si="30"/>
        <v>560.96</v>
      </c>
      <c r="J238" s="65">
        <f t="shared" si="31"/>
        <v>7.27</v>
      </c>
      <c r="K238" s="65">
        <f t="shared" si="32"/>
        <v>85.67</v>
      </c>
      <c r="L238" s="65">
        <f t="shared" si="33"/>
        <v>4.1547999999999998</v>
      </c>
      <c r="M238" s="557">
        <f t="shared" si="34"/>
        <v>1.768</v>
      </c>
      <c r="N238" s="773">
        <f t="shared" si="41"/>
        <v>16</v>
      </c>
      <c r="O238" s="557" t="s">
        <v>1102</v>
      </c>
      <c r="P238" s="557" t="s">
        <v>914</v>
      </c>
      <c r="Q238" s="988" t="s">
        <v>255</v>
      </c>
      <c r="R238" s="13">
        <f t="shared" si="35"/>
        <v>717.34799999999996</v>
      </c>
    </row>
    <row r="239" spans="1:18" s="311" customFormat="1" ht="21.75" customHeight="1">
      <c r="A239" s="14">
        <f>SUBTOTAL(103,$C$5:C239)</f>
        <v>235</v>
      </c>
      <c r="B239" s="65">
        <v>11</v>
      </c>
      <c r="C239" s="668" t="s">
        <v>447</v>
      </c>
      <c r="D239" s="65" t="str">
        <f>VLOOKUP(C239,'Location Summary'!$C$4:$D$603,2,0)</f>
        <v>DA+6</v>
      </c>
      <c r="E239" s="65" t="s">
        <v>405</v>
      </c>
      <c r="F239" s="732">
        <f>G235</f>
        <v>45695</v>
      </c>
      <c r="G239" s="732">
        <v>45698</v>
      </c>
      <c r="H239" s="64" t="s">
        <v>994</v>
      </c>
      <c r="I239" s="65">
        <f t="shared" si="30"/>
        <v>289.83999999999997</v>
      </c>
      <c r="J239" s="65">
        <f t="shared" si="31"/>
        <v>3.61</v>
      </c>
      <c r="K239" s="65">
        <f t="shared" si="32"/>
        <v>37.299999999999997</v>
      </c>
      <c r="L239" s="65">
        <f t="shared" si="33"/>
        <v>2.093</v>
      </c>
      <c r="M239" s="557">
        <f t="shared" si="34"/>
        <v>0.86599999999999999</v>
      </c>
      <c r="N239" s="773">
        <f t="shared" si="41"/>
        <v>7.39</v>
      </c>
      <c r="O239" s="557" t="s">
        <v>1193</v>
      </c>
      <c r="P239" s="557" t="s">
        <v>914</v>
      </c>
      <c r="Q239" s="988" t="s">
        <v>255</v>
      </c>
      <c r="R239" s="13">
        <f t="shared" si="35"/>
        <v>314.28399999999999</v>
      </c>
    </row>
    <row r="240" spans="1:18" s="311" customFormat="1" ht="21.75" customHeight="1">
      <c r="A240" s="14">
        <f>SUBTOTAL(103,$C$5:C240)</f>
        <v>236</v>
      </c>
      <c r="B240" s="65">
        <v>12</v>
      </c>
      <c r="C240" s="668" t="s">
        <v>267</v>
      </c>
      <c r="D240" s="65" t="str">
        <f>VLOOKUP(C240,'Location Summary'!$C$4:$D$603,2,0)</f>
        <v>DD60+9</v>
      </c>
      <c r="E240" s="65" t="s">
        <v>405</v>
      </c>
      <c r="F240" s="732">
        <v>45684</v>
      </c>
      <c r="G240" s="732">
        <v>45699</v>
      </c>
      <c r="H240" s="64" t="s">
        <v>990</v>
      </c>
      <c r="I240" s="65">
        <f t="shared" si="30"/>
        <v>1025.83</v>
      </c>
      <c r="J240" s="65">
        <f t="shared" si="31"/>
        <v>13.65</v>
      </c>
      <c r="K240" s="65">
        <f t="shared" si="32"/>
        <v>190.99</v>
      </c>
      <c r="L240" s="65">
        <f t="shared" si="33"/>
        <v>11.554</v>
      </c>
      <c r="M240" s="557">
        <f t="shared" si="34"/>
        <v>3.1593010000000001</v>
      </c>
      <c r="N240" s="773">
        <f t="shared" si="41"/>
        <v>36.99</v>
      </c>
      <c r="O240" s="557" t="s">
        <v>1185</v>
      </c>
      <c r="P240" s="557" t="s">
        <v>1209</v>
      </c>
      <c r="Q240" s="988" t="s">
        <v>255</v>
      </c>
      <c r="R240" s="13">
        <f t="shared" si="35"/>
        <v>1587.98</v>
      </c>
    </row>
    <row r="241" spans="1:18" s="311" customFormat="1" ht="21.75" customHeight="1">
      <c r="A241" s="14">
        <f>SUBTOTAL(103,$C$5:C241)</f>
        <v>237</v>
      </c>
      <c r="B241" s="65">
        <v>13</v>
      </c>
      <c r="C241" s="668" t="s">
        <v>629</v>
      </c>
      <c r="D241" s="65" t="str">
        <f>VLOOKUP(C241,'Location Summary'!$C$4:$D$603,2,0)</f>
        <v>DA+3</v>
      </c>
      <c r="E241" s="65" t="s">
        <v>405</v>
      </c>
      <c r="F241" s="732">
        <f>G227</f>
        <v>45688</v>
      </c>
      <c r="G241" s="732">
        <v>45699</v>
      </c>
      <c r="H241" s="64" t="s">
        <v>1169</v>
      </c>
      <c r="I241" s="65">
        <f t="shared" si="30"/>
        <v>289.83999999999997</v>
      </c>
      <c r="J241" s="65">
        <f t="shared" si="31"/>
        <v>3.61</v>
      </c>
      <c r="K241" s="65">
        <f t="shared" si="32"/>
        <v>37.299999999999997</v>
      </c>
      <c r="L241" s="65">
        <f t="shared" si="33"/>
        <v>2.093</v>
      </c>
      <c r="M241" s="557">
        <f t="shared" si="34"/>
        <v>0.86599999999999999</v>
      </c>
      <c r="N241" s="773">
        <f t="shared" si="41"/>
        <v>7.39</v>
      </c>
      <c r="O241" s="557" t="s">
        <v>1082</v>
      </c>
      <c r="P241" s="557" t="s">
        <v>914</v>
      </c>
      <c r="Q241" s="988" t="s">
        <v>255</v>
      </c>
      <c r="R241" s="13">
        <f t="shared" si="35"/>
        <v>314.28399999999999</v>
      </c>
    </row>
    <row r="242" spans="1:18" s="311" customFormat="1" ht="21.75" customHeight="1">
      <c r="A242" s="14">
        <f>SUBTOTAL(103,$C$5:C242)</f>
        <v>238</v>
      </c>
      <c r="B242" s="65">
        <v>14</v>
      </c>
      <c r="C242" s="668" t="s">
        <v>175</v>
      </c>
      <c r="D242" s="65" t="str">
        <f>VLOOKUP(C242,'Location Summary'!$C$4:$D$603,2,0)</f>
        <v>DA-3</v>
      </c>
      <c r="E242" s="65" t="s">
        <v>405</v>
      </c>
      <c r="F242" s="732">
        <v>45693</v>
      </c>
      <c r="G242" s="732">
        <v>45700</v>
      </c>
      <c r="H242" s="64" t="s">
        <v>1142</v>
      </c>
      <c r="I242" s="65">
        <f t="shared" si="30"/>
        <v>271.04000000000002</v>
      </c>
      <c r="J242" s="65">
        <f t="shared" si="31"/>
        <v>3.36</v>
      </c>
      <c r="K242" s="65">
        <f t="shared" si="32"/>
        <v>34.15</v>
      </c>
      <c r="L242" s="65">
        <f t="shared" si="33"/>
        <v>1.599</v>
      </c>
      <c r="M242" s="557">
        <f t="shared" si="34"/>
        <v>0.86599999999999999</v>
      </c>
      <c r="N242" s="773">
        <f t="shared" si="41"/>
        <v>6.49</v>
      </c>
      <c r="O242" s="557" t="s">
        <v>995</v>
      </c>
      <c r="P242" s="557" t="s">
        <v>1210</v>
      </c>
      <c r="Q242" s="988" t="s">
        <v>255</v>
      </c>
      <c r="R242" s="13">
        <f t="shared" si="35"/>
        <v>287.98399999999998</v>
      </c>
    </row>
    <row r="243" spans="1:18" s="311" customFormat="1" ht="21.75" customHeight="1">
      <c r="A243" s="14">
        <f>SUBTOTAL(103,$C$5:C243)</f>
        <v>239</v>
      </c>
      <c r="B243" s="65">
        <v>15</v>
      </c>
      <c r="C243" s="668" t="s">
        <v>402</v>
      </c>
      <c r="D243" s="65" t="str">
        <f>VLOOKUP(C243,'Location Summary'!$C$4:$D$603,2,0)</f>
        <v>DA+9</v>
      </c>
      <c r="E243" s="65" t="s">
        <v>405</v>
      </c>
      <c r="F243" s="732">
        <v>45684</v>
      </c>
      <c r="G243" s="732">
        <v>45701</v>
      </c>
      <c r="H243" s="64" t="s">
        <v>1166</v>
      </c>
      <c r="I243" s="65">
        <f t="shared" si="30"/>
        <v>289.83999999999997</v>
      </c>
      <c r="J243" s="65">
        <f t="shared" si="31"/>
        <v>3.61</v>
      </c>
      <c r="K243" s="65">
        <f t="shared" si="32"/>
        <v>37.299999999999997</v>
      </c>
      <c r="L243" s="65">
        <f t="shared" si="33"/>
        <v>2.093</v>
      </c>
      <c r="M243" s="557">
        <f t="shared" si="34"/>
        <v>0.86599999999999999</v>
      </c>
      <c r="N243" s="773">
        <f>ROUND((I243*230.35+J243*10150.5+K243*11591.45+L243*93958.18+M243*7677.44)/10^5,2)</f>
        <v>7.39</v>
      </c>
      <c r="O243" s="557" t="s">
        <v>1211</v>
      </c>
      <c r="P243" s="557" t="s">
        <v>1106</v>
      </c>
      <c r="Q243" s="988" t="s">
        <v>255</v>
      </c>
      <c r="R243" s="13">
        <f t="shared" si="35"/>
        <v>314.28399999999999</v>
      </c>
    </row>
    <row r="244" spans="1:18" s="311" customFormat="1" ht="21.75" customHeight="1">
      <c r="A244" s="14">
        <f>SUBTOTAL(103,$C$5:C244)</f>
        <v>240</v>
      </c>
      <c r="B244" s="65">
        <v>16</v>
      </c>
      <c r="C244" s="668" t="s">
        <v>429</v>
      </c>
      <c r="D244" s="65" t="str">
        <f>VLOOKUP(C244,'Location Summary'!$C$4:$D$603,2,0)</f>
        <v>DA+0</v>
      </c>
      <c r="E244" s="65" t="s">
        <v>405</v>
      </c>
      <c r="F244" s="732">
        <v>45695</v>
      </c>
      <c r="G244" s="732">
        <v>45704</v>
      </c>
      <c r="H244" s="64" t="s">
        <v>888</v>
      </c>
      <c r="I244" s="65">
        <f t="shared" si="30"/>
        <v>271.04000000000002</v>
      </c>
      <c r="J244" s="65">
        <f t="shared" si="31"/>
        <v>3.36</v>
      </c>
      <c r="K244" s="65">
        <f t="shared" si="32"/>
        <v>34.15</v>
      </c>
      <c r="L244" s="65">
        <f t="shared" si="33"/>
        <v>1.599</v>
      </c>
      <c r="M244" s="557">
        <f t="shared" si="34"/>
        <v>0.86599999999999999</v>
      </c>
      <c r="N244" s="557">
        <f>ROUND((I244*230.35+J244*10150.5+K244*11591.45+L244*93958.18+M244*7677.44)/10^5,2)</f>
        <v>6.49</v>
      </c>
      <c r="O244" s="557" t="s">
        <v>1082</v>
      </c>
      <c r="P244" s="557" t="s">
        <v>1210</v>
      </c>
      <c r="Q244" s="988" t="s">
        <v>255</v>
      </c>
      <c r="R244" s="13">
        <f t="shared" si="35"/>
        <v>287.98399999999998</v>
      </c>
    </row>
    <row r="245" spans="1:18" s="311" customFormat="1" ht="21.75" customHeight="1">
      <c r="A245" s="14">
        <f>SUBTOTAL(103,$C$5:C245)</f>
        <v>241</v>
      </c>
      <c r="B245" s="65">
        <v>17</v>
      </c>
      <c r="C245" s="668" t="s">
        <v>174</v>
      </c>
      <c r="D245" s="65" t="str">
        <f>VLOOKUP(C245,'Location Summary'!$C$4:$D$603,2,0)</f>
        <v>DA-3</v>
      </c>
      <c r="E245" s="65" t="s">
        <v>405</v>
      </c>
      <c r="F245" s="732">
        <f>G242</f>
        <v>45700</v>
      </c>
      <c r="G245" s="732">
        <v>45704</v>
      </c>
      <c r="H245" s="64" t="s">
        <v>1142</v>
      </c>
      <c r="I245" s="65">
        <f t="shared" si="30"/>
        <v>271.04000000000002</v>
      </c>
      <c r="J245" s="65">
        <f t="shared" si="31"/>
        <v>3.36</v>
      </c>
      <c r="K245" s="65">
        <f t="shared" si="32"/>
        <v>34.15</v>
      </c>
      <c r="L245" s="65">
        <f t="shared" si="33"/>
        <v>1.599</v>
      </c>
      <c r="M245" s="557">
        <f t="shared" si="34"/>
        <v>0.86599999999999999</v>
      </c>
      <c r="N245" s="557">
        <f>ROUND((I245*230.35+J245*10150.5+K245*11591.45+L245*93958.18+M245*7677.44)/10^5,2)</f>
        <v>6.49</v>
      </c>
      <c r="O245" s="557" t="s">
        <v>995</v>
      </c>
      <c r="P245" s="557" t="s">
        <v>1235</v>
      </c>
      <c r="Q245" s="988" t="s">
        <v>255</v>
      </c>
      <c r="R245" s="13">
        <f t="shared" si="35"/>
        <v>287.98399999999998</v>
      </c>
    </row>
    <row r="246" spans="1:18" s="311" customFormat="1" ht="21.75" customHeight="1">
      <c r="A246" s="14">
        <f>SUBTOTAL(103,$C$5:C246)</f>
        <v>242</v>
      </c>
      <c r="B246" s="65">
        <v>18</v>
      </c>
      <c r="C246" s="668" t="s">
        <v>879</v>
      </c>
      <c r="D246" s="65" t="str">
        <f>VLOOKUP(C246,'Location Summary'!$C$4:$D$603,2,0)</f>
        <v>DA+3</v>
      </c>
      <c r="E246" s="65" t="s">
        <v>405</v>
      </c>
      <c r="F246" s="732">
        <v>45698</v>
      </c>
      <c r="G246" s="732">
        <v>45705</v>
      </c>
      <c r="H246" s="64" t="s">
        <v>1164</v>
      </c>
      <c r="I246" s="65">
        <f t="shared" si="30"/>
        <v>289.83999999999997</v>
      </c>
      <c r="J246" s="65">
        <f t="shared" si="31"/>
        <v>3.61</v>
      </c>
      <c r="K246" s="65">
        <f t="shared" si="32"/>
        <v>37.299999999999997</v>
      </c>
      <c r="L246" s="65">
        <f t="shared" si="33"/>
        <v>2.093</v>
      </c>
      <c r="M246" s="557">
        <f t="shared" si="34"/>
        <v>0.86599999999999999</v>
      </c>
      <c r="N246" s="557">
        <f>ROUND((I246*230.35+J246*10150.5+K246*11591.45+L246*93958.18+M246*7677.44)/10^5,2)</f>
        <v>7.39</v>
      </c>
      <c r="O246" s="557" t="s">
        <v>1212</v>
      </c>
      <c r="P246" s="557" t="s">
        <v>914</v>
      </c>
      <c r="Q246" s="988" t="s">
        <v>255</v>
      </c>
      <c r="R246" s="13">
        <f t="shared" si="35"/>
        <v>314.28399999999999</v>
      </c>
    </row>
    <row r="247" spans="1:18" s="311" customFormat="1" ht="21.75" customHeight="1">
      <c r="A247" s="14">
        <f>SUBTOTAL(103,$C$5:C247)</f>
        <v>243</v>
      </c>
      <c r="B247" s="65">
        <v>19</v>
      </c>
      <c r="C247" s="668" t="s">
        <v>485</v>
      </c>
      <c r="D247" s="65" t="str">
        <f>VLOOKUP(C247,'Location Summary'!$C$4:$D$603,2,0)</f>
        <v>DB1+9</v>
      </c>
      <c r="E247" s="65" t="s">
        <v>405</v>
      </c>
      <c r="F247" s="732">
        <v>45699</v>
      </c>
      <c r="G247" s="732">
        <v>45706</v>
      </c>
      <c r="H247" s="64" t="s">
        <v>990</v>
      </c>
      <c r="I247" s="773">
        <f t="shared" si="30"/>
        <v>484.04</v>
      </c>
      <c r="J247" s="65">
        <f t="shared" si="31"/>
        <v>6.23</v>
      </c>
      <c r="K247" s="65">
        <f t="shared" si="32"/>
        <v>70.319999999999993</v>
      </c>
      <c r="L247" s="65">
        <f t="shared" si="33"/>
        <v>3.3719999999999999</v>
      </c>
      <c r="M247" s="557">
        <f t="shared" si="34"/>
        <v>1.768</v>
      </c>
      <c r="N247" s="557">
        <f>ROUND((I247*230.35+J247*10150.5+K247*11591.45+L247*93958.18+M247*7677.44)/10^5,2)</f>
        <v>13.2</v>
      </c>
      <c r="O247" s="557" t="s">
        <v>1185</v>
      </c>
      <c r="P247" s="557" t="s">
        <v>1209</v>
      </c>
      <c r="Q247" s="988" t="s">
        <v>255</v>
      </c>
      <c r="R247" s="13">
        <f t="shared" si="35"/>
        <v>589.97199999999998</v>
      </c>
    </row>
    <row r="248" spans="1:18" s="311" customFormat="1" ht="21.75" customHeight="1">
      <c r="A248" s="14">
        <f>SUBTOTAL(103,$C$5:C248)</f>
        <v>244</v>
      </c>
      <c r="B248" s="65">
        <v>20</v>
      </c>
      <c r="C248" s="668" t="s">
        <v>775</v>
      </c>
      <c r="D248" s="65" t="str">
        <f>VLOOKUP(C248,'Location Summary'!$C$4:$D$603,2,0)</f>
        <v>DB1+9</v>
      </c>
      <c r="E248" s="65" t="s">
        <v>405</v>
      </c>
      <c r="F248" s="732">
        <v>45335</v>
      </c>
      <c r="G248" s="732">
        <v>45706</v>
      </c>
      <c r="H248" s="64" t="s">
        <v>1225</v>
      </c>
      <c r="I248" s="65">
        <f t="shared" si="30"/>
        <v>484.04</v>
      </c>
      <c r="J248" s="65">
        <f t="shared" si="31"/>
        <v>6.23</v>
      </c>
      <c r="K248" s="65">
        <f t="shared" si="32"/>
        <v>70.319999999999993</v>
      </c>
      <c r="L248" s="65">
        <f t="shared" si="33"/>
        <v>3.3719999999999999</v>
      </c>
      <c r="M248" s="557">
        <f t="shared" si="34"/>
        <v>1.768</v>
      </c>
      <c r="N248" s="557">
        <f t="shared" ref="N248:N253" si="42">ROUND((I248*230.35+J248*10150.5+K248*11591.45+L248*93958.18+M248*7677.44)/10^5,2)</f>
        <v>13.2</v>
      </c>
      <c r="O248" s="557" t="s">
        <v>453</v>
      </c>
      <c r="P248" s="557" t="s">
        <v>914</v>
      </c>
      <c r="Q248" s="988" t="s">
        <v>255</v>
      </c>
      <c r="R248" s="13">
        <f t="shared" si="35"/>
        <v>589.97199999999998</v>
      </c>
    </row>
    <row r="249" spans="1:18" s="311" customFormat="1" ht="21.75" customHeight="1">
      <c r="A249" s="14">
        <f>SUBTOTAL(103,$C$5:C249)</f>
        <v>245</v>
      </c>
      <c r="B249" s="65">
        <v>21</v>
      </c>
      <c r="C249" s="668" t="s">
        <v>372</v>
      </c>
      <c r="D249" s="65" t="str">
        <f>VLOOKUP(C249,'Location Summary'!$C$4:$D$603,2,0)</f>
        <v>DA+3</v>
      </c>
      <c r="E249" s="65" t="s">
        <v>405</v>
      </c>
      <c r="F249" s="732">
        <v>45699</v>
      </c>
      <c r="G249" s="732">
        <v>45707</v>
      </c>
      <c r="H249" s="64" t="s">
        <v>1217</v>
      </c>
      <c r="I249" s="65">
        <f t="shared" si="30"/>
        <v>289.83999999999997</v>
      </c>
      <c r="J249" s="65">
        <f t="shared" si="31"/>
        <v>3.61</v>
      </c>
      <c r="K249" s="65">
        <f t="shared" si="32"/>
        <v>37.299999999999997</v>
      </c>
      <c r="L249" s="65">
        <f t="shared" si="33"/>
        <v>2.093</v>
      </c>
      <c r="M249" s="557">
        <f t="shared" si="34"/>
        <v>0.86599999999999999</v>
      </c>
      <c r="N249" s="557">
        <f t="shared" si="42"/>
        <v>7.39</v>
      </c>
      <c r="O249" s="557" t="s">
        <v>1218</v>
      </c>
      <c r="P249" s="557" t="s">
        <v>767</v>
      </c>
      <c r="Q249" s="988" t="s">
        <v>255</v>
      </c>
      <c r="R249" s="13">
        <f t="shared" si="35"/>
        <v>314.28399999999999</v>
      </c>
    </row>
    <row r="250" spans="1:18" s="311" customFormat="1" ht="21.75" customHeight="1">
      <c r="A250" s="14">
        <f>SUBTOTAL(103,$C$5:C250)</f>
        <v>246</v>
      </c>
      <c r="B250" s="65">
        <v>22</v>
      </c>
      <c r="C250" s="668" t="s">
        <v>69</v>
      </c>
      <c r="D250" s="65" t="str">
        <f>VLOOKUP(C250,'Location Summary'!$C$4:$D$603,2,0)</f>
        <v>DA+9</v>
      </c>
      <c r="E250" s="65" t="s">
        <v>405</v>
      </c>
      <c r="F250" s="732">
        <v>45335</v>
      </c>
      <c r="G250" s="732">
        <v>45708</v>
      </c>
      <c r="H250" s="64" t="s">
        <v>1224</v>
      </c>
      <c r="I250" s="65">
        <f t="shared" si="30"/>
        <v>289.83999999999997</v>
      </c>
      <c r="J250" s="65">
        <f t="shared" si="31"/>
        <v>3.61</v>
      </c>
      <c r="K250" s="65">
        <f t="shared" si="32"/>
        <v>37.299999999999997</v>
      </c>
      <c r="L250" s="65">
        <f t="shared" si="33"/>
        <v>2.093</v>
      </c>
      <c r="M250" s="557">
        <f t="shared" si="34"/>
        <v>0.86599999999999999</v>
      </c>
      <c r="N250" s="557">
        <f t="shared" si="42"/>
        <v>7.39</v>
      </c>
      <c r="O250" s="557" t="s">
        <v>793</v>
      </c>
      <c r="P250" s="557" t="s">
        <v>914</v>
      </c>
      <c r="Q250" s="988" t="s">
        <v>255</v>
      </c>
      <c r="R250" s="13">
        <f t="shared" si="35"/>
        <v>314.28399999999999</v>
      </c>
    </row>
    <row r="251" spans="1:18" s="311" customFormat="1" ht="21.75" customHeight="1">
      <c r="A251" s="14">
        <f>SUBTOTAL(103,$C$5:C251)</f>
        <v>247</v>
      </c>
      <c r="B251" s="65">
        <v>23</v>
      </c>
      <c r="C251" s="668" t="s">
        <v>182</v>
      </c>
      <c r="D251" s="65" t="str">
        <f>VLOOKUP(C251,'Location Summary'!$C$4:$D$603,2,0)</f>
        <v>DA+0</v>
      </c>
      <c r="E251" s="65" t="s">
        <v>405</v>
      </c>
      <c r="F251" s="732">
        <f>G244</f>
        <v>45704</v>
      </c>
      <c r="G251" s="732">
        <v>45710</v>
      </c>
      <c r="H251" s="64" t="s">
        <v>888</v>
      </c>
      <c r="I251" s="65">
        <f t="shared" si="30"/>
        <v>271.04000000000002</v>
      </c>
      <c r="J251" s="65">
        <f t="shared" si="31"/>
        <v>3.36</v>
      </c>
      <c r="K251" s="65">
        <f t="shared" si="32"/>
        <v>34.15</v>
      </c>
      <c r="L251" s="65">
        <f t="shared" si="33"/>
        <v>1.599</v>
      </c>
      <c r="M251" s="557">
        <f t="shared" si="34"/>
        <v>0.86599999999999999</v>
      </c>
      <c r="N251" s="557">
        <f t="shared" si="42"/>
        <v>6.49</v>
      </c>
      <c r="O251" s="557" t="s">
        <v>1082</v>
      </c>
      <c r="P251" s="557" t="s">
        <v>1233</v>
      </c>
      <c r="Q251" s="988" t="s">
        <v>255</v>
      </c>
      <c r="R251" s="13">
        <f t="shared" si="35"/>
        <v>287.98399999999998</v>
      </c>
    </row>
    <row r="252" spans="1:18" s="311" customFormat="1" ht="21.75" customHeight="1">
      <c r="A252" s="14">
        <f>SUBTOTAL(103,$C$5:C252)</f>
        <v>248</v>
      </c>
      <c r="B252" s="65">
        <v>24</v>
      </c>
      <c r="C252" s="668" t="s">
        <v>776</v>
      </c>
      <c r="D252" s="65" t="str">
        <f>VLOOKUP(C252,'Location Summary'!$C$4:$D$603,2,0)</f>
        <v>DA+6</v>
      </c>
      <c r="E252" s="65" t="s">
        <v>405</v>
      </c>
      <c r="F252" s="732">
        <v>45705</v>
      </c>
      <c r="G252" s="732">
        <v>45710</v>
      </c>
      <c r="H252" s="64" t="s">
        <v>1225</v>
      </c>
      <c r="I252" s="65">
        <f t="shared" si="30"/>
        <v>289.83999999999997</v>
      </c>
      <c r="J252" s="65">
        <f t="shared" si="31"/>
        <v>3.61</v>
      </c>
      <c r="K252" s="65">
        <f t="shared" si="32"/>
        <v>37.299999999999997</v>
      </c>
      <c r="L252" s="65">
        <f t="shared" si="33"/>
        <v>2.093</v>
      </c>
      <c r="M252" s="557">
        <f t="shared" si="34"/>
        <v>0.86599999999999999</v>
      </c>
      <c r="N252" s="557">
        <f t="shared" si="42"/>
        <v>7.39</v>
      </c>
      <c r="O252" s="557" t="s">
        <v>453</v>
      </c>
      <c r="P252" s="557" t="s">
        <v>914</v>
      </c>
      <c r="Q252" s="988" t="s">
        <v>255</v>
      </c>
      <c r="R252" s="13">
        <f t="shared" si="35"/>
        <v>314.28399999999999</v>
      </c>
    </row>
    <row r="253" spans="1:18" s="311" customFormat="1" ht="21.75" customHeight="1">
      <c r="A253" s="14">
        <f>SUBTOTAL(103,$C$5:C253)</f>
        <v>249</v>
      </c>
      <c r="B253" s="65">
        <v>25</v>
      </c>
      <c r="C253" s="668" t="s">
        <v>64</v>
      </c>
      <c r="D253" s="65" t="str">
        <f>VLOOKUP(C253,'Location Summary'!$C$4:$D$603,2,0)</f>
        <v>DC1+0</v>
      </c>
      <c r="E253" s="65" t="s">
        <v>405</v>
      </c>
      <c r="F253" s="732">
        <v>45699</v>
      </c>
      <c r="G253" s="732">
        <v>45711</v>
      </c>
      <c r="H253" s="64" t="s">
        <v>994</v>
      </c>
      <c r="I253" s="65">
        <f t="shared" si="30"/>
        <v>606.15</v>
      </c>
      <c r="J253" s="65">
        <f t="shared" si="31"/>
        <v>7.89</v>
      </c>
      <c r="K253" s="65">
        <f t="shared" si="32"/>
        <v>93.55</v>
      </c>
      <c r="L253" s="65">
        <f t="shared" si="33"/>
        <v>4.8167999999999997</v>
      </c>
      <c r="M253" s="557">
        <f t="shared" si="34"/>
        <v>2.348757</v>
      </c>
      <c r="N253" s="557">
        <f t="shared" si="42"/>
        <v>17.75</v>
      </c>
      <c r="O253" s="557" t="s">
        <v>1212</v>
      </c>
      <c r="P253" s="557" t="s">
        <v>914</v>
      </c>
      <c r="Q253" s="988" t="s">
        <v>255</v>
      </c>
      <c r="R253" s="13">
        <f t="shared" si="35"/>
        <v>783.11599999999999</v>
      </c>
    </row>
    <row r="254" spans="1:18" s="311" customFormat="1" ht="21.75" customHeight="1">
      <c r="A254" s="14">
        <f>SUBTOTAL(103,$C$5:C254)</f>
        <v>250</v>
      </c>
      <c r="B254" s="65">
        <v>26</v>
      </c>
      <c r="C254" s="668" t="s">
        <v>630</v>
      </c>
      <c r="D254" s="65" t="str">
        <f>VLOOKUP(C254,'Location Summary'!$C$4:$D$603,2,0)</f>
        <v>DA+6</v>
      </c>
      <c r="E254" s="65" t="s">
        <v>405</v>
      </c>
      <c r="F254" s="732">
        <f>G241</f>
        <v>45699</v>
      </c>
      <c r="G254" s="732">
        <v>45712</v>
      </c>
      <c r="H254" s="64" t="s">
        <v>1169</v>
      </c>
      <c r="I254" s="65">
        <f t="shared" si="30"/>
        <v>289.83999999999997</v>
      </c>
      <c r="J254" s="65">
        <f t="shared" si="31"/>
        <v>3.61</v>
      </c>
      <c r="K254" s="65">
        <f t="shared" si="32"/>
        <v>37.299999999999997</v>
      </c>
      <c r="L254" s="65">
        <f t="shared" si="33"/>
        <v>2.093</v>
      </c>
      <c r="M254" s="557">
        <f t="shared" si="34"/>
        <v>0.86599999999999999</v>
      </c>
      <c r="N254" s="557">
        <f t="shared" ref="N254:N259" si="43">ROUND((I254*230.35+J254*10150.5+K254*11591.45+L254*93958.18+M254*7677.44)/10^5,2)</f>
        <v>7.39</v>
      </c>
      <c r="O254" s="557" t="s">
        <v>793</v>
      </c>
      <c r="P254" s="557" t="s">
        <v>914</v>
      </c>
      <c r="Q254" s="988" t="s">
        <v>255</v>
      </c>
      <c r="R254" s="13">
        <f t="shared" si="35"/>
        <v>314.28399999999999</v>
      </c>
    </row>
    <row r="255" spans="1:18" s="311" customFormat="1" ht="21.75" customHeight="1">
      <c r="A255" s="14">
        <f>SUBTOTAL(103,$C$5:C255)</f>
        <v>251</v>
      </c>
      <c r="B255" s="65">
        <v>27</v>
      </c>
      <c r="C255" s="668" t="s">
        <v>410</v>
      </c>
      <c r="D255" s="65" t="str">
        <f>VLOOKUP(C255,'Location Summary'!$C$4:$D$603,2,0)</f>
        <v>DA+0</v>
      </c>
      <c r="E255" s="65" t="s">
        <v>405</v>
      </c>
      <c r="F255" s="732">
        <v>45701</v>
      </c>
      <c r="G255" s="732">
        <v>45713</v>
      </c>
      <c r="H255" s="64" t="s">
        <v>1223</v>
      </c>
      <c r="I255" s="65">
        <f t="shared" si="30"/>
        <v>271.04000000000002</v>
      </c>
      <c r="J255" s="65">
        <f t="shared" si="31"/>
        <v>3.36</v>
      </c>
      <c r="K255" s="65">
        <f t="shared" si="32"/>
        <v>34.15</v>
      </c>
      <c r="L255" s="65">
        <f t="shared" si="33"/>
        <v>1.599</v>
      </c>
      <c r="M255" s="557">
        <f t="shared" si="34"/>
        <v>0.86599999999999999</v>
      </c>
      <c r="N255" s="557">
        <f t="shared" si="43"/>
        <v>6.49</v>
      </c>
      <c r="O255" s="557" t="s">
        <v>1211</v>
      </c>
      <c r="P255" s="557" t="s">
        <v>767</v>
      </c>
      <c r="Q255" s="988" t="s">
        <v>255</v>
      </c>
      <c r="R255" s="13">
        <f t="shared" si="35"/>
        <v>287.98399999999998</v>
      </c>
    </row>
    <row r="256" spans="1:18" s="311" customFormat="1" ht="21.75" customHeight="1">
      <c r="A256" s="14">
        <f>SUBTOTAL(103,$C$5:C256)</f>
        <v>252</v>
      </c>
      <c r="B256" s="65">
        <v>28</v>
      </c>
      <c r="C256" s="668" t="s">
        <v>60</v>
      </c>
      <c r="D256" s="65" t="str">
        <f>VLOOKUP(C256,'Location Summary'!$C$4:$D$603,2,0)</f>
        <v>DD60+35</v>
      </c>
      <c r="E256" s="65" t="s">
        <v>405</v>
      </c>
      <c r="F256" s="732">
        <v>45702</v>
      </c>
      <c r="G256" s="732">
        <v>45713</v>
      </c>
      <c r="H256" s="64" t="s">
        <v>974</v>
      </c>
      <c r="I256" s="65">
        <f t="shared" si="30"/>
        <v>999.64</v>
      </c>
      <c r="J256" s="65">
        <f t="shared" si="31"/>
        <v>13.28</v>
      </c>
      <c r="K256" s="65">
        <f t="shared" si="32"/>
        <v>186.31</v>
      </c>
      <c r="L256" s="65">
        <f t="shared" si="33"/>
        <v>11.581</v>
      </c>
      <c r="M256" s="557">
        <f t="shared" si="34"/>
        <v>3.3799760000000001</v>
      </c>
      <c r="N256" s="557">
        <f t="shared" si="43"/>
        <v>36.39</v>
      </c>
      <c r="O256" s="557" t="s">
        <v>1082</v>
      </c>
      <c r="P256" s="557" t="s">
        <v>767</v>
      </c>
      <c r="Q256" s="988" t="s">
        <v>255</v>
      </c>
      <c r="R256" s="13">
        <f t="shared" si="35"/>
        <v>1548.912</v>
      </c>
    </row>
    <row r="257" spans="1:18" s="311" customFormat="1" ht="21.75" customHeight="1">
      <c r="A257" s="14">
        <f>SUBTOTAL(103,$C$5:C257)</f>
        <v>253</v>
      </c>
      <c r="B257" s="65">
        <v>29</v>
      </c>
      <c r="C257" s="668" t="s">
        <v>63</v>
      </c>
      <c r="D257" s="65" t="str">
        <f>VLOOKUP(C257,'Location Summary'!$C$4:$D$603,2,0)</f>
        <v>DC2-3</v>
      </c>
      <c r="E257" s="65" t="s">
        <v>405</v>
      </c>
      <c r="F257" s="732">
        <v>45705</v>
      </c>
      <c r="G257" s="732">
        <v>45714</v>
      </c>
      <c r="H257" s="64" t="s">
        <v>994</v>
      </c>
      <c r="I257" s="65">
        <f t="shared" si="30"/>
        <v>693.86</v>
      </c>
      <c r="J257" s="65">
        <f t="shared" si="31"/>
        <v>9.09</v>
      </c>
      <c r="K257" s="65">
        <f t="shared" si="32"/>
        <v>115.43</v>
      </c>
      <c r="L257" s="65">
        <f t="shared" si="33"/>
        <v>5.6909999999999998</v>
      </c>
      <c r="M257" s="557">
        <f t="shared" si="34"/>
        <v>2.348757</v>
      </c>
      <c r="N257" s="557">
        <f t="shared" si="43"/>
        <v>21.43</v>
      </c>
      <c r="O257" s="557" t="s">
        <v>1212</v>
      </c>
      <c r="P257" s="557" t="s">
        <v>914</v>
      </c>
      <c r="Q257" s="988" t="s">
        <v>255</v>
      </c>
      <c r="R257" s="13">
        <f t="shared" si="35"/>
        <v>963.43600000000004</v>
      </c>
    </row>
    <row r="258" spans="1:18" s="311" customFormat="1" ht="21.75" customHeight="1">
      <c r="A258" s="14">
        <f>SUBTOTAL(103,$C$5:C258)</f>
        <v>254</v>
      </c>
      <c r="B258" s="65">
        <v>30</v>
      </c>
      <c r="C258" s="668" t="s">
        <v>408</v>
      </c>
      <c r="D258" s="65" t="str">
        <f>VLOOKUP(C258,'Location Summary'!$C$4:$D$603,2,0)</f>
        <v>DA+9</v>
      </c>
      <c r="E258" s="65" t="s">
        <v>405</v>
      </c>
      <c r="F258" s="732">
        <v>45704</v>
      </c>
      <c r="G258" s="732">
        <v>45714</v>
      </c>
      <c r="H258" s="64" t="s">
        <v>1217</v>
      </c>
      <c r="I258" s="65">
        <f t="shared" si="30"/>
        <v>289.83999999999997</v>
      </c>
      <c r="J258" s="65">
        <f t="shared" si="31"/>
        <v>3.61</v>
      </c>
      <c r="K258" s="65">
        <f t="shared" si="32"/>
        <v>37.299999999999997</v>
      </c>
      <c r="L258" s="65">
        <f t="shared" si="33"/>
        <v>2.093</v>
      </c>
      <c r="M258" s="557">
        <f t="shared" si="34"/>
        <v>0.86599999999999999</v>
      </c>
      <c r="N258" s="557">
        <f t="shared" si="43"/>
        <v>7.39</v>
      </c>
      <c r="O258" s="557" t="s">
        <v>1211</v>
      </c>
      <c r="P258" s="557" t="s">
        <v>767</v>
      </c>
      <c r="Q258" s="988" t="s">
        <v>255</v>
      </c>
      <c r="R258" s="13">
        <f t="shared" si="35"/>
        <v>314.28399999999999</v>
      </c>
    </row>
    <row r="259" spans="1:18" s="311" customFormat="1" ht="21.75" customHeight="1">
      <c r="A259" s="14">
        <f>SUBTOTAL(103,$C$5:C259)</f>
        <v>255</v>
      </c>
      <c r="B259" s="65">
        <v>31</v>
      </c>
      <c r="C259" s="668" t="s">
        <v>57</v>
      </c>
      <c r="D259" s="65" t="str">
        <f>VLOOKUP(C259,'Location Summary'!$C$4:$D$603,2,0)</f>
        <v>DD60+18</v>
      </c>
      <c r="E259" s="65" t="s">
        <v>405</v>
      </c>
      <c r="F259" s="732">
        <v>45692</v>
      </c>
      <c r="G259" s="732">
        <v>45715</v>
      </c>
      <c r="H259" s="64" t="s">
        <v>1142</v>
      </c>
      <c r="I259" s="65">
        <f t="shared" si="30"/>
        <v>1042.68</v>
      </c>
      <c r="J259" s="65">
        <f t="shared" si="31"/>
        <v>13.88</v>
      </c>
      <c r="K259" s="65">
        <f t="shared" si="32"/>
        <v>194</v>
      </c>
      <c r="L259" s="65">
        <f t="shared" si="33"/>
        <v>12.18</v>
      </c>
      <c r="M259" s="557">
        <f t="shared" si="34"/>
        <v>3.1593010000000001</v>
      </c>
      <c r="N259" s="557">
        <f t="shared" si="43"/>
        <v>37.979999999999997</v>
      </c>
      <c r="O259" s="557" t="s">
        <v>995</v>
      </c>
      <c r="P259" s="195" t="s">
        <v>1234</v>
      </c>
      <c r="Q259" s="988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8" t="s">
        <v>1240</v>
      </c>
      <c r="D260" s="65" t="s">
        <v>2</v>
      </c>
      <c r="E260" s="65" t="s">
        <v>405</v>
      </c>
      <c r="F260" s="110">
        <v>45712</v>
      </c>
      <c r="G260" s="110">
        <v>45717</v>
      </c>
      <c r="H260" s="63" t="s">
        <v>1175</v>
      </c>
      <c r="I260" s="65">
        <f t="shared" si="30"/>
        <v>289.83999999999997</v>
      </c>
      <c r="J260" s="65">
        <f t="shared" si="31"/>
        <v>3.61</v>
      </c>
      <c r="K260" s="65">
        <f t="shared" si="32"/>
        <v>37.299999999999997</v>
      </c>
      <c r="L260" s="65">
        <f t="shared" si="33"/>
        <v>2.093</v>
      </c>
      <c r="M260" s="557">
        <f t="shared" si="34"/>
        <v>0.86599999999999999</v>
      </c>
      <c r="N260" s="115">
        <f t="shared" ref="N260:N265" si="44">ROUND((I260*230.35+J260*10150.5+K260*11591.45+L260*93958.18+M260*7677.44)/10^5,2)</f>
        <v>7.39</v>
      </c>
      <c r="O260" s="115" t="s">
        <v>793</v>
      </c>
      <c r="P260" s="557" t="s">
        <v>767</v>
      </c>
      <c r="Q260" s="988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8" t="s">
        <v>409</v>
      </c>
      <c r="D261" s="65" t="str">
        <f>VLOOKUP(C261,'Location Summary'!$C$4:$D$603,2,0)</f>
        <v>DA+0</v>
      </c>
      <c r="E261" s="65" t="s">
        <v>405</v>
      </c>
      <c r="F261" s="110">
        <v>45711</v>
      </c>
      <c r="G261" s="110">
        <v>45721</v>
      </c>
      <c r="H261" s="63" t="s">
        <v>1217</v>
      </c>
      <c r="I261" s="65">
        <f t="shared" ref="I261:I275" si="45">VLOOKUP($D261,$D$323:$M$362,6,FALSE)</f>
        <v>271.04000000000002</v>
      </c>
      <c r="J261" s="65">
        <f t="shared" ref="J261:J275" si="46">VLOOKUP($D261,$D$323:$M$362,7,FALSE)</f>
        <v>3.36</v>
      </c>
      <c r="K261" s="65">
        <f t="shared" ref="K261:K275" si="47">VLOOKUP($D261,$D$323:$M$362,8,FALSE)</f>
        <v>34.15</v>
      </c>
      <c r="L261" s="65">
        <f t="shared" ref="L261:L275" si="48">VLOOKUP($D261,$D$323:$M$362,9,FALSE)</f>
        <v>1.599</v>
      </c>
      <c r="M261" s="557">
        <f t="shared" ref="M261:M275" si="49">VLOOKUP($D261,$D$323:$M$362,10,FALSE)</f>
        <v>0.86599999999999999</v>
      </c>
      <c r="N261" s="115">
        <f t="shared" si="44"/>
        <v>6.49</v>
      </c>
      <c r="O261" s="115" t="s">
        <v>1211</v>
      </c>
      <c r="P261" s="557" t="s">
        <v>1106</v>
      </c>
      <c r="Q261" s="988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8" t="s">
        <v>59</v>
      </c>
      <c r="D262" s="65" t="str">
        <f>VLOOKUP(C262,'Location Summary'!$C$4:$D$603,2,0)</f>
        <v>DD60+35</v>
      </c>
      <c r="E262" s="65" t="s">
        <v>405</v>
      </c>
      <c r="F262" s="110">
        <v>45705</v>
      </c>
      <c r="G262" s="110">
        <v>45721</v>
      </c>
      <c r="H262" s="63" t="s">
        <v>505</v>
      </c>
      <c r="I262" s="65">
        <f t="shared" si="45"/>
        <v>999.64</v>
      </c>
      <c r="J262" s="65">
        <f t="shared" si="46"/>
        <v>13.28</v>
      </c>
      <c r="K262" s="65">
        <f t="shared" si="47"/>
        <v>186.31</v>
      </c>
      <c r="L262" s="65">
        <f t="shared" si="48"/>
        <v>11.581</v>
      </c>
      <c r="M262" s="557">
        <f t="shared" si="49"/>
        <v>3.3799760000000001</v>
      </c>
      <c r="N262" s="115">
        <f t="shared" si="44"/>
        <v>36.39</v>
      </c>
      <c r="O262" s="115" t="s">
        <v>1082</v>
      </c>
      <c r="P262" s="557" t="s">
        <v>1209</v>
      </c>
      <c r="Q262" s="988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8" t="s">
        <v>167</v>
      </c>
      <c r="D263" s="65" t="str">
        <f>VLOOKUP(C263,'Location Summary'!$C$4:$D$603,2,0)</f>
        <v>DD60+25</v>
      </c>
      <c r="E263" s="65" t="s">
        <v>405</v>
      </c>
      <c r="F263" s="110">
        <v>45705</v>
      </c>
      <c r="G263" s="110">
        <v>45722</v>
      </c>
      <c r="H263" s="63" t="s">
        <v>990</v>
      </c>
      <c r="I263" s="65">
        <f t="shared" si="45"/>
        <v>1042.68</v>
      </c>
      <c r="J263" s="65">
        <f t="shared" si="46"/>
        <v>13.88</v>
      </c>
      <c r="K263" s="65">
        <f t="shared" si="47"/>
        <v>194</v>
      </c>
      <c r="L263" s="65">
        <f t="shared" si="48"/>
        <v>12.18</v>
      </c>
      <c r="M263" s="557">
        <f t="shared" si="49"/>
        <v>3.1593010000000001</v>
      </c>
      <c r="N263" s="115">
        <f t="shared" si="44"/>
        <v>37.979999999999997</v>
      </c>
      <c r="O263" s="115" t="s">
        <v>1185</v>
      </c>
      <c r="P263" s="557" t="s">
        <v>1106</v>
      </c>
      <c r="Q263" s="988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46" t="s">
        <v>1242</v>
      </c>
      <c r="D264" s="65" t="str">
        <f>VLOOKUP(C264,'Location Summary'!$C$4:$D$676,2,0)</f>
        <v>DA+3</v>
      </c>
      <c r="E264" s="65" t="s">
        <v>405</v>
      </c>
      <c r="F264" s="110">
        <v>45718</v>
      </c>
      <c r="G264" s="110">
        <v>45722</v>
      </c>
      <c r="H264" s="63" t="s">
        <v>1175</v>
      </c>
      <c r="I264" s="65">
        <f t="shared" si="45"/>
        <v>289.83999999999997</v>
      </c>
      <c r="J264" s="65">
        <f t="shared" si="46"/>
        <v>3.61</v>
      </c>
      <c r="K264" s="65">
        <f t="shared" si="47"/>
        <v>37.299999999999997</v>
      </c>
      <c r="L264" s="65">
        <f t="shared" si="48"/>
        <v>2.093</v>
      </c>
      <c r="M264" s="557">
        <f t="shared" si="49"/>
        <v>0.86599999999999999</v>
      </c>
      <c r="N264" s="115">
        <f t="shared" si="44"/>
        <v>7.39</v>
      </c>
      <c r="O264" s="115" t="s">
        <v>793</v>
      </c>
      <c r="P264" s="557" t="s">
        <v>767</v>
      </c>
      <c r="Q264" s="988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46" t="s">
        <v>58</v>
      </c>
      <c r="D265" s="65" t="str">
        <f>VLOOKUP(C265,'Location Summary'!$C$4:$D$603,2,0)</f>
        <v>DD60+18</v>
      </c>
      <c r="E265" s="65" t="s">
        <v>405</v>
      </c>
      <c r="F265" s="110">
        <v>45711</v>
      </c>
      <c r="G265" s="110">
        <v>45724</v>
      </c>
      <c r="H265" s="63" t="s">
        <v>1142</v>
      </c>
      <c r="I265" s="65">
        <f t="shared" si="45"/>
        <v>1042.68</v>
      </c>
      <c r="J265" s="65">
        <f t="shared" si="46"/>
        <v>13.88</v>
      </c>
      <c r="K265" s="65">
        <f t="shared" si="47"/>
        <v>194</v>
      </c>
      <c r="L265" s="65">
        <f t="shared" si="48"/>
        <v>12.18</v>
      </c>
      <c r="M265" s="557">
        <f t="shared" si="49"/>
        <v>3.1593010000000001</v>
      </c>
      <c r="N265" s="115">
        <f t="shared" si="44"/>
        <v>37.979999999999997</v>
      </c>
      <c r="O265" s="115" t="s">
        <v>995</v>
      </c>
      <c r="P265" s="557" t="s">
        <v>1106</v>
      </c>
      <c r="Q265" s="988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46" t="s">
        <v>74</v>
      </c>
      <c r="D266" s="65" t="str">
        <f>VLOOKUP(C266,'Location Summary'!$C$4:$D$603,2,0)</f>
        <v>DB1+6</v>
      </c>
      <c r="E266" s="65" t="s">
        <v>405</v>
      </c>
      <c r="F266" s="110">
        <v>45713</v>
      </c>
      <c r="G266" s="110">
        <v>45724</v>
      </c>
      <c r="H266" s="63" t="s">
        <v>1169</v>
      </c>
      <c r="I266" s="65">
        <f t="shared" si="45"/>
        <v>484.04</v>
      </c>
      <c r="J266" s="65">
        <f t="shared" si="46"/>
        <v>6.23</v>
      </c>
      <c r="K266" s="65">
        <f t="shared" si="47"/>
        <v>70.319999999999993</v>
      </c>
      <c r="L266" s="65">
        <f t="shared" si="48"/>
        <v>3.3719999999999999</v>
      </c>
      <c r="M266" s="557">
        <f t="shared" si="49"/>
        <v>1.768</v>
      </c>
      <c r="N266" s="115">
        <f t="shared" ref="N266:N273" si="51">ROUND((I266*230.35+J266*10150.5+K266*11591.45+L266*93958.18+M266*7677.44)/10^5,2)</f>
        <v>13.2</v>
      </c>
      <c r="O266" s="115" t="s">
        <v>793</v>
      </c>
      <c r="P266" s="557" t="s">
        <v>767</v>
      </c>
      <c r="Q266" s="988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46" t="s">
        <v>1244</v>
      </c>
      <c r="D267" s="65" t="str">
        <f>VLOOKUP(C267,'Location Summary'!$C$4:$D$676,2,0)</f>
        <v>DA+0</v>
      </c>
      <c r="E267" s="65" t="s">
        <v>405</v>
      </c>
      <c r="F267" s="110">
        <v>45727</v>
      </c>
      <c r="G267" s="110">
        <v>45728</v>
      </c>
      <c r="H267" s="63" t="s">
        <v>1175</v>
      </c>
      <c r="I267" s="65">
        <f t="shared" si="45"/>
        <v>271.04000000000002</v>
      </c>
      <c r="J267" s="65">
        <f t="shared" si="46"/>
        <v>3.36</v>
      </c>
      <c r="K267" s="65">
        <f t="shared" si="47"/>
        <v>34.15</v>
      </c>
      <c r="L267" s="65">
        <f t="shared" si="48"/>
        <v>1.599</v>
      </c>
      <c r="M267" s="557">
        <f t="shared" si="49"/>
        <v>0.86599999999999999</v>
      </c>
      <c r="N267" s="115">
        <f t="shared" si="51"/>
        <v>6.49</v>
      </c>
      <c r="O267" s="115" t="s">
        <v>793</v>
      </c>
      <c r="P267" s="557" t="s">
        <v>1106</v>
      </c>
      <c r="Q267" s="988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46" t="s">
        <v>1243</v>
      </c>
      <c r="D268" s="65" t="str">
        <f>VLOOKUP(C268,'Location Summary'!$C$4:$D$676,2,0)</f>
        <v>DA+3</v>
      </c>
      <c r="E268" s="65" t="s">
        <v>405</v>
      </c>
      <c r="F268" s="110">
        <v>45722</v>
      </c>
      <c r="G268" s="110">
        <v>45729</v>
      </c>
      <c r="H268" s="63" t="s">
        <v>1175</v>
      </c>
      <c r="I268" s="65">
        <f t="shared" si="45"/>
        <v>289.83999999999997</v>
      </c>
      <c r="J268" s="65">
        <f t="shared" si="46"/>
        <v>3.61</v>
      </c>
      <c r="K268" s="65">
        <f t="shared" si="47"/>
        <v>37.299999999999997</v>
      </c>
      <c r="L268" s="65">
        <f t="shared" si="48"/>
        <v>2.093</v>
      </c>
      <c r="M268" s="557">
        <f t="shared" si="49"/>
        <v>0.86599999999999999</v>
      </c>
      <c r="N268" s="115">
        <f t="shared" si="51"/>
        <v>7.39</v>
      </c>
      <c r="O268" s="115" t="s">
        <v>793</v>
      </c>
      <c r="P268" s="557" t="s">
        <v>767</v>
      </c>
      <c r="Q268" s="988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46" t="s">
        <v>257</v>
      </c>
      <c r="D269" s="65" t="str">
        <f>VLOOKUP(C269,'Location Summary'!$C$4:$D$676,2,0)</f>
        <v>DB1+6</v>
      </c>
      <c r="E269" s="65" t="s">
        <v>405</v>
      </c>
      <c r="F269" s="110">
        <f>G261+1</f>
        <v>45722</v>
      </c>
      <c r="G269" s="110">
        <v>45732</v>
      </c>
      <c r="H269" s="63" t="s">
        <v>1217</v>
      </c>
      <c r="I269" s="65">
        <f t="shared" si="45"/>
        <v>484.04</v>
      </c>
      <c r="J269" s="65">
        <f t="shared" si="46"/>
        <v>6.23</v>
      </c>
      <c r="K269" s="65">
        <f t="shared" si="47"/>
        <v>70.319999999999993</v>
      </c>
      <c r="L269" s="65">
        <f t="shared" si="48"/>
        <v>3.3719999999999999</v>
      </c>
      <c r="M269" s="557">
        <f t="shared" si="49"/>
        <v>1.768</v>
      </c>
      <c r="N269" s="115">
        <f t="shared" si="51"/>
        <v>13.2</v>
      </c>
      <c r="O269" s="115" t="s">
        <v>1211</v>
      </c>
      <c r="P269" s="557" t="s">
        <v>1106</v>
      </c>
      <c r="Q269" s="988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46" t="s">
        <v>1245</v>
      </c>
      <c r="D270" s="65" t="str">
        <f>VLOOKUP(C270,'Location Summary'!$C$4:$D$676,2,0)</f>
        <v>DA+0</v>
      </c>
      <c r="E270" s="65" t="s">
        <v>405</v>
      </c>
      <c r="F270" s="110">
        <v>45731</v>
      </c>
      <c r="G270" s="110">
        <v>45733</v>
      </c>
      <c r="H270" s="63" t="s">
        <v>1175</v>
      </c>
      <c r="I270" s="65">
        <f t="shared" si="45"/>
        <v>271.04000000000002</v>
      </c>
      <c r="J270" s="65">
        <f t="shared" si="46"/>
        <v>3.36</v>
      </c>
      <c r="K270" s="65">
        <f t="shared" si="47"/>
        <v>34.15</v>
      </c>
      <c r="L270" s="65">
        <f t="shared" si="48"/>
        <v>1.599</v>
      </c>
      <c r="M270" s="557">
        <f t="shared" si="49"/>
        <v>0.86599999999999999</v>
      </c>
      <c r="N270" s="115">
        <f t="shared" si="51"/>
        <v>6.49</v>
      </c>
      <c r="O270" s="115" t="s">
        <v>793</v>
      </c>
      <c r="P270" s="557" t="s">
        <v>1106</v>
      </c>
      <c r="Q270" s="988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46" t="s">
        <v>1253</v>
      </c>
      <c r="D271" s="65" t="str">
        <f>VLOOKUP(C271,'Location Summary'!$C$4:$D$676,2,0)</f>
        <v>DA+3</v>
      </c>
      <c r="E271" s="65" t="s">
        <v>405</v>
      </c>
      <c r="F271" s="110">
        <v>45734</v>
      </c>
      <c r="G271" s="110">
        <v>45739</v>
      </c>
      <c r="H271" s="63" t="s">
        <v>1164</v>
      </c>
      <c r="I271" s="65">
        <f t="shared" si="45"/>
        <v>289.83999999999997</v>
      </c>
      <c r="J271" s="65">
        <f t="shared" si="46"/>
        <v>3.61</v>
      </c>
      <c r="K271" s="65">
        <f t="shared" si="47"/>
        <v>37.299999999999997</v>
      </c>
      <c r="L271" s="65">
        <f t="shared" si="48"/>
        <v>2.093</v>
      </c>
      <c r="M271" s="557">
        <f t="shared" si="49"/>
        <v>0.86599999999999999</v>
      </c>
      <c r="N271" s="115">
        <f t="shared" si="51"/>
        <v>7.39</v>
      </c>
      <c r="O271" s="115" t="s">
        <v>1165</v>
      </c>
      <c r="P271" s="557" t="s">
        <v>1106</v>
      </c>
      <c r="Q271" s="988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46" t="s">
        <v>459</v>
      </c>
      <c r="D272" s="65" t="str">
        <f>VLOOKUP(C272,'Location Summary'!$C$4:$D$676,2,0)</f>
        <v>DA+6</v>
      </c>
      <c r="E272" s="65" t="s">
        <v>405</v>
      </c>
      <c r="F272" s="110">
        <v>45729</v>
      </c>
      <c r="G272" s="110">
        <v>45739</v>
      </c>
      <c r="H272" s="63" t="s">
        <v>1217</v>
      </c>
      <c r="I272" s="65">
        <f t="shared" si="45"/>
        <v>289.83999999999997</v>
      </c>
      <c r="J272" s="65">
        <f t="shared" si="46"/>
        <v>3.61</v>
      </c>
      <c r="K272" s="65">
        <f t="shared" si="47"/>
        <v>37.299999999999997</v>
      </c>
      <c r="L272" s="65">
        <f t="shared" si="48"/>
        <v>2.093</v>
      </c>
      <c r="M272" s="557">
        <f t="shared" si="49"/>
        <v>0.86599999999999999</v>
      </c>
      <c r="N272" s="115">
        <f t="shared" si="51"/>
        <v>7.39</v>
      </c>
      <c r="O272" s="115" t="s">
        <v>1211</v>
      </c>
      <c r="P272" s="557" t="s">
        <v>1106</v>
      </c>
      <c r="Q272" s="988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46" t="s">
        <v>1267</v>
      </c>
      <c r="D273" s="611" t="str">
        <f>VLOOKUP(C273,'Location Summary'!$C$4:$D$676,2,0)</f>
        <v>DA+9</v>
      </c>
      <c r="E273" s="611" t="s">
        <v>405</v>
      </c>
      <c r="F273" s="60">
        <v>45735</v>
      </c>
      <c r="G273" s="60">
        <v>45739</v>
      </c>
      <c r="H273" s="72" t="s">
        <v>1175</v>
      </c>
      <c r="I273" s="611">
        <f t="shared" si="45"/>
        <v>289.83999999999997</v>
      </c>
      <c r="J273" s="611">
        <f t="shared" si="46"/>
        <v>3.61</v>
      </c>
      <c r="K273" s="611">
        <f t="shared" si="47"/>
        <v>37.299999999999997</v>
      </c>
      <c r="L273" s="611">
        <f t="shared" si="48"/>
        <v>2.093</v>
      </c>
      <c r="M273" s="947">
        <f t="shared" si="49"/>
        <v>0.86599999999999999</v>
      </c>
      <c r="N273" s="29">
        <f t="shared" si="51"/>
        <v>7.39</v>
      </c>
      <c r="O273" s="29" t="s">
        <v>1082</v>
      </c>
      <c r="P273" s="947" t="s">
        <v>1106</v>
      </c>
      <c r="Q273" s="988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46" t="s">
        <v>1266</v>
      </c>
      <c r="D274" s="611" t="str">
        <f>VLOOKUP(C274,'Location Summary'!$C$4:$D$676,2,0)</f>
        <v>DA+3</v>
      </c>
      <c r="E274" s="611" t="s">
        <v>405</v>
      </c>
      <c r="F274" s="60">
        <v>45739</v>
      </c>
      <c r="G274" s="60">
        <v>45742</v>
      </c>
      <c r="H274" s="72" t="s">
        <v>1175</v>
      </c>
      <c r="I274" s="611">
        <f t="shared" si="45"/>
        <v>289.83999999999997</v>
      </c>
      <c r="J274" s="611">
        <f t="shared" si="46"/>
        <v>3.61</v>
      </c>
      <c r="K274" s="611">
        <f t="shared" si="47"/>
        <v>37.299999999999997</v>
      </c>
      <c r="L274" s="611">
        <f t="shared" si="48"/>
        <v>2.093</v>
      </c>
      <c r="M274" s="947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47" t="s">
        <v>1106</v>
      </c>
      <c r="Q274" s="988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46" t="s">
        <v>1254</v>
      </c>
      <c r="D275" s="611" t="str">
        <f>VLOOKUP(C275,'Location Summary'!$C$4:$D$676,2,0)</f>
        <v>DA+3</v>
      </c>
      <c r="E275" s="611" t="s">
        <v>405</v>
      </c>
      <c r="F275" s="60">
        <v>45736</v>
      </c>
      <c r="G275" s="60">
        <v>45743</v>
      </c>
      <c r="H275" s="72" t="s">
        <v>1164</v>
      </c>
      <c r="I275" s="611">
        <f t="shared" si="45"/>
        <v>289.83999999999997</v>
      </c>
      <c r="J275" s="611">
        <f t="shared" si="46"/>
        <v>3.61</v>
      </c>
      <c r="K275" s="611">
        <f t="shared" si="47"/>
        <v>37.299999999999997</v>
      </c>
      <c r="L275" s="611">
        <f t="shared" si="48"/>
        <v>2.093</v>
      </c>
      <c r="M275" s="947">
        <f t="shared" si="49"/>
        <v>0.86599999999999999</v>
      </c>
      <c r="N275" s="29">
        <f t="shared" si="52"/>
        <v>7.39</v>
      </c>
      <c r="O275" s="29" t="s">
        <v>1165</v>
      </c>
      <c r="P275" s="947" t="s">
        <v>1106</v>
      </c>
      <c r="Q275" s="988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46" t="s">
        <v>206</v>
      </c>
      <c r="D276" s="611" t="str">
        <f>VLOOKUP(C276,'Location Summary'!$C$4:$D$676,2,0)</f>
        <v>DA+9</v>
      </c>
      <c r="E276" s="611" t="s">
        <v>1357</v>
      </c>
      <c r="F276" s="60">
        <f>G266</f>
        <v>45724</v>
      </c>
      <c r="G276" s="60">
        <v>45746</v>
      </c>
      <c r="H276" s="72" t="s">
        <v>1169</v>
      </c>
      <c r="I276" s="611">
        <v>323.91000000000003</v>
      </c>
      <c r="J276" s="611">
        <v>4.07</v>
      </c>
      <c r="K276" s="611">
        <v>47.75</v>
      </c>
      <c r="L276" s="611">
        <v>3.9489999999999998</v>
      </c>
      <c r="M276" s="947">
        <v>1.3660000000000001</v>
      </c>
      <c r="N276" s="29">
        <f t="shared" si="52"/>
        <v>10.51</v>
      </c>
      <c r="O276" s="29" t="s">
        <v>1358</v>
      </c>
      <c r="P276" s="947" t="s">
        <v>1106</v>
      </c>
      <c r="Q276" s="988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46" t="s">
        <v>1265</v>
      </c>
      <c r="D277" s="611" t="str">
        <f>VLOOKUP(C277,'Location Summary'!$C$4:$D$676,2,0)</f>
        <v>DB1+9</v>
      </c>
      <c r="E277" s="611" t="s">
        <v>405</v>
      </c>
      <c r="F277" s="60">
        <v>45742</v>
      </c>
      <c r="G277" s="60">
        <v>45746</v>
      </c>
      <c r="H277" s="72" t="s">
        <v>1175</v>
      </c>
      <c r="I277" s="611">
        <f t="shared" ref="I277:I283" si="53">VLOOKUP($D277,$D$323:$M$362,6,FALSE)</f>
        <v>484.04</v>
      </c>
      <c r="J277" s="611">
        <f t="shared" ref="J277:J283" si="54">VLOOKUP($D277,$D$323:$M$362,7,FALSE)</f>
        <v>6.23</v>
      </c>
      <c r="K277" s="611">
        <f t="shared" ref="K277:K283" si="55">VLOOKUP($D277,$D$323:$M$362,8,FALSE)</f>
        <v>70.319999999999993</v>
      </c>
      <c r="L277" s="611">
        <f t="shared" ref="L277:L283" si="56">VLOOKUP($D277,$D$323:$M$362,9,FALSE)</f>
        <v>3.3719999999999999</v>
      </c>
      <c r="M277" s="947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47" t="s">
        <v>1106</v>
      </c>
      <c r="Q277" s="988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46" t="s">
        <v>1255</v>
      </c>
      <c r="D278" s="611" t="str">
        <f>VLOOKUP(C278,'Location Summary'!$C$4:$D$676,2,0)</f>
        <v>DA+3</v>
      </c>
      <c r="E278" s="611" t="s">
        <v>405</v>
      </c>
      <c r="F278" s="60">
        <v>45743</v>
      </c>
      <c r="G278" s="60">
        <v>45746</v>
      </c>
      <c r="H278" s="72" t="s">
        <v>1164</v>
      </c>
      <c r="I278" s="611">
        <f t="shared" si="53"/>
        <v>289.83999999999997</v>
      </c>
      <c r="J278" s="611">
        <f t="shared" si="54"/>
        <v>3.61</v>
      </c>
      <c r="K278" s="611">
        <f t="shared" si="55"/>
        <v>37.299999999999997</v>
      </c>
      <c r="L278" s="611">
        <f t="shared" si="56"/>
        <v>2.093</v>
      </c>
      <c r="M278" s="947">
        <f t="shared" si="57"/>
        <v>0.86599999999999999</v>
      </c>
      <c r="N278" s="29">
        <f t="shared" si="52"/>
        <v>7.39</v>
      </c>
      <c r="O278" s="29" t="s">
        <v>1165</v>
      </c>
      <c r="P278" s="947" t="s">
        <v>1106</v>
      </c>
      <c r="Q278" s="988" t="s">
        <v>255</v>
      </c>
      <c r="R278" s="13">
        <f t="shared" si="50"/>
        <v>314.28399999999999</v>
      </c>
    </row>
    <row r="279" spans="1:18" s="311" customFormat="1" ht="21.75" customHeight="1">
      <c r="A279" s="1001">
        <f>SUBTOTAL(103,$C$5:C279)</f>
        <v>275</v>
      </c>
      <c r="B279" s="611">
        <v>1</v>
      </c>
      <c r="C279" s="946" t="s">
        <v>674</v>
      </c>
      <c r="D279" s="611" t="str">
        <f>VLOOKUP(C279,'Location Summary'!$C$4:$D$676,2,0)</f>
        <v>DB1+12</v>
      </c>
      <c r="E279" s="611" t="s">
        <v>405</v>
      </c>
      <c r="F279" s="99">
        <v>45739</v>
      </c>
      <c r="G279" s="99">
        <v>45748</v>
      </c>
      <c r="H279" s="614" t="s">
        <v>1217</v>
      </c>
      <c r="I279" s="611">
        <f t="shared" si="53"/>
        <v>462.88</v>
      </c>
      <c r="J279" s="611">
        <f t="shared" si="54"/>
        <v>5.94</v>
      </c>
      <c r="K279" s="611">
        <f t="shared" si="55"/>
        <v>67.91</v>
      </c>
      <c r="L279" s="611">
        <f t="shared" si="56"/>
        <v>3.1507999999999998</v>
      </c>
      <c r="M279" s="947">
        <f t="shared" si="57"/>
        <v>1.752</v>
      </c>
      <c r="N279" s="947">
        <f t="shared" si="52"/>
        <v>12.64</v>
      </c>
      <c r="O279" s="947" t="s">
        <v>1211</v>
      </c>
      <c r="P279" s="947" t="s">
        <v>1106</v>
      </c>
      <c r="Q279" s="1002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46" t="s">
        <v>1264</v>
      </c>
      <c r="D280" s="611" t="str">
        <f>VLOOKUP(C280,'Location Summary'!$C$4:$D$676,2,0)</f>
        <v>DA+0</v>
      </c>
      <c r="E280" s="611" t="s">
        <v>405</v>
      </c>
      <c r="F280" s="60">
        <v>45746</v>
      </c>
      <c r="G280" s="60">
        <v>45750</v>
      </c>
      <c r="H280" s="72" t="s">
        <v>1175</v>
      </c>
      <c r="I280" s="611">
        <f t="shared" si="53"/>
        <v>271.04000000000002</v>
      </c>
      <c r="J280" s="611">
        <f t="shared" si="54"/>
        <v>3.36</v>
      </c>
      <c r="K280" s="611">
        <f t="shared" si="55"/>
        <v>34.15</v>
      </c>
      <c r="L280" s="611">
        <f t="shared" si="56"/>
        <v>1.599</v>
      </c>
      <c r="M280" s="947">
        <f t="shared" si="57"/>
        <v>0.86599999999999999</v>
      </c>
      <c r="N280" s="29">
        <f t="shared" si="52"/>
        <v>6.49</v>
      </c>
      <c r="O280" s="29" t="s">
        <v>1365</v>
      </c>
      <c r="P280" s="947" t="s">
        <v>1106</v>
      </c>
      <c r="Q280" s="988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46" t="s">
        <v>1256</v>
      </c>
      <c r="D281" s="611" t="str">
        <f>VLOOKUP(C281,'Location Summary'!$C$4:$D$676,2,0)</f>
        <v>DA+3</v>
      </c>
      <c r="E281" s="611" t="s">
        <v>405</v>
      </c>
      <c r="F281" s="60">
        <v>45746</v>
      </c>
      <c r="G281" s="60">
        <v>45752</v>
      </c>
      <c r="H281" s="72" t="s">
        <v>1164</v>
      </c>
      <c r="I281" s="611">
        <f t="shared" si="53"/>
        <v>289.83999999999997</v>
      </c>
      <c r="J281" s="611">
        <f t="shared" si="54"/>
        <v>3.61</v>
      </c>
      <c r="K281" s="611">
        <f t="shared" si="55"/>
        <v>37.299999999999997</v>
      </c>
      <c r="L281" s="611">
        <f t="shared" si="56"/>
        <v>2.093</v>
      </c>
      <c r="M281" s="947">
        <f t="shared" si="57"/>
        <v>0.86599999999999999</v>
      </c>
      <c r="N281" s="29">
        <f t="shared" si="52"/>
        <v>7.39</v>
      </c>
      <c r="O281" s="29" t="s">
        <v>1406</v>
      </c>
      <c r="P281" s="947" t="s">
        <v>1106</v>
      </c>
      <c r="Q281" s="988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46" t="s">
        <v>1259</v>
      </c>
      <c r="D282" s="611" t="str">
        <f>VLOOKUP(C282,'Location Summary'!$C$4:$D$676,2,0)</f>
        <v>DA+3</v>
      </c>
      <c r="E282" s="611" t="s">
        <v>405</v>
      </c>
      <c r="F282" s="60">
        <v>45751</v>
      </c>
      <c r="G282" s="60">
        <v>45755</v>
      </c>
      <c r="H282" s="72" t="s">
        <v>1164</v>
      </c>
      <c r="I282" s="611">
        <f t="shared" si="53"/>
        <v>289.83999999999997</v>
      </c>
      <c r="J282" s="611">
        <f t="shared" si="54"/>
        <v>3.61</v>
      </c>
      <c r="K282" s="611">
        <f t="shared" si="55"/>
        <v>37.299999999999997</v>
      </c>
      <c r="L282" s="611">
        <f t="shared" si="56"/>
        <v>2.093</v>
      </c>
      <c r="M282" s="947">
        <f t="shared" si="57"/>
        <v>0.86599999999999999</v>
      </c>
      <c r="N282" s="29">
        <f t="shared" si="52"/>
        <v>7.39</v>
      </c>
      <c r="O282" s="29" t="s">
        <v>1406</v>
      </c>
      <c r="P282" s="947" t="s">
        <v>1106</v>
      </c>
      <c r="Q282" s="988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46" t="s">
        <v>1263</v>
      </c>
      <c r="D283" s="611" t="str">
        <f>VLOOKUP(C283,'Location Summary'!$C$4:$D$676,2,0)</f>
        <v>DA+3</v>
      </c>
      <c r="E283" s="611" t="s">
        <v>405</v>
      </c>
      <c r="F283" s="60">
        <v>45750</v>
      </c>
      <c r="G283" s="60">
        <v>45755</v>
      </c>
      <c r="H283" s="72" t="s">
        <v>1175</v>
      </c>
      <c r="I283" s="611">
        <f t="shared" si="53"/>
        <v>289.83999999999997</v>
      </c>
      <c r="J283" s="611">
        <f t="shared" si="54"/>
        <v>3.61</v>
      </c>
      <c r="K283" s="611">
        <f t="shared" si="55"/>
        <v>37.299999999999997</v>
      </c>
      <c r="L283" s="611">
        <f t="shared" si="56"/>
        <v>2.093</v>
      </c>
      <c r="M283" s="947">
        <f t="shared" si="57"/>
        <v>0.86599999999999999</v>
      </c>
      <c r="N283" s="29">
        <f t="shared" si="52"/>
        <v>7.39</v>
      </c>
      <c r="O283" s="29" t="s">
        <v>1365</v>
      </c>
      <c r="P283" s="947" t="s">
        <v>1106</v>
      </c>
      <c r="Q283" s="988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46" t="s">
        <v>877</v>
      </c>
      <c r="D284" s="611" t="str">
        <f>VLOOKUP(C284,'Location Summary'!$C$4:$D$676,2,0)</f>
        <v>DA+9</v>
      </c>
      <c r="E284" s="611" t="s">
        <v>1357</v>
      </c>
      <c r="F284" s="60">
        <v>45726</v>
      </c>
      <c r="G284" s="60">
        <v>45755</v>
      </c>
      <c r="H284" s="72" t="s">
        <v>1164</v>
      </c>
      <c r="I284" s="611">
        <v>323.91000000000003</v>
      </c>
      <c r="J284" s="611">
        <v>4.07</v>
      </c>
      <c r="K284" s="611">
        <v>47.75</v>
      </c>
      <c r="L284" s="611">
        <v>3.9489999999999998</v>
      </c>
      <c r="M284" s="947">
        <v>1.3660000000000001</v>
      </c>
      <c r="N284" s="29">
        <f t="shared" si="52"/>
        <v>10.51</v>
      </c>
      <c r="O284" s="29" t="s">
        <v>1212</v>
      </c>
      <c r="P284" s="947" t="s">
        <v>1106</v>
      </c>
      <c r="Q284" s="988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46" t="s">
        <v>1262</v>
      </c>
      <c r="D285" s="611" t="str">
        <f>VLOOKUP(C285,'Location Summary'!$C$4:$D$676,2,0)</f>
        <v>DA+0</v>
      </c>
      <c r="E285" s="611" t="s">
        <v>405</v>
      </c>
      <c r="F285" s="60">
        <v>45755</v>
      </c>
      <c r="G285" s="60">
        <v>45757</v>
      </c>
      <c r="H285" s="72" t="s">
        <v>1175</v>
      </c>
      <c r="I285" s="611">
        <f>VLOOKUP($D285,$D$323:$M$362,6,FALSE)</f>
        <v>271.04000000000002</v>
      </c>
      <c r="J285" s="611">
        <f>VLOOKUP($D285,$D$323:$M$362,7,FALSE)</f>
        <v>3.36</v>
      </c>
      <c r="K285" s="611">
        <f>VLOOKUP($D285,$D$323:$M$362,8,FALSE)</f>
        <v>34.15</v>
      </c>
      <c r="L285" s="611">
        <f>VLOOKUP($D285,$D$323:$M$362,9,FALSE)</f>
        <v>1.599</v>
      </c>
      <c r="M285" s="947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47" t="s">
        <v>1106</v>
      </c>
      <c r="Q285" s="988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46" t="s">
        <v>878</v>
      </c>
      <c r="D286" s="611" t="str">
        <f>VLOOKUP(C286,'Location Summary'!$C$4:$D$603,2,0)</f>
        <v>DA+9</v>
      </c>
      <c r="E286" s="611" t="s">
        <v>1357</v>
      </c>
      <c r="F286" s="60">
        <v>45722</v>
      </c>
      <c r="G286" s="60">
        <v>45758</v>
      </c>
      <c r="H286" s="72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47">
        <v>1.3660000000000001</v>
      </c>
      <c r="N286" s="29">
        <f t="shared" si="58"/>
        <v>10.51</v>
      </c>
      <c r="O286" s="29" t="s">
        <v>1212</v>
      </c>
      <c r="P286" s="947" t="s">
        <v>767</v>
      </c>
      <c r="Q286" s="988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46" t="s">
        <v>1261</v>
      </c>
      <c r="D287" s="611" t="str">
        <f>VLOOKUP(C287,'Location Summary'!$C$4:$D$676,2,0)</f>
        <v>DA+0</v>
      </c>
      <c r="E287" s="611" t="s">
        <v>405</v>
      </c>
      <c r="F287" s="60">
        <v>45757</v>
      </c>
      <c r="G287" s="60">
        <v>45759</v>
      </c>
      <c r="H287" s="72" t="s">
        <v>1175</v>
      </c>
      <c r="I287" s="611">
        <f>VLOOKUP($D287,$D$323:$M$362,6,FALSE)</f>
        <v>271.04000000000002</v>
      </c>
      <c r="J287" s="611">
        <f>VLOOKUP($D287,$D$323:$M$362,7,FALSE)</f>
        <v>3.36</v>
      </c>
      <c r="K287" s="611">
        <f>VLOOKUP($D287,$D$323:$M$362,8,FALSE)</f>
        <v>34.15</v>
      </c>
      <c r="L287" s="611">
        <f>VLOOKUP($D287,$D$323:$M$362,9,FALSE)</f>
        <v>1.599</v>
      </c>
      <c r="M287" s="947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47" t="s">
        <v>1106</v>
      </c>
      <c r="Q287" s="988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46" t="s">
        <v>592</v>
      </c>
      <c r="D288" s="611" t="str">
        <f>VLOOKUP(C288,'Location Summary'!$C$4:$D$676,2,0)</f>
        <v>DA-3</v>
      </c>
      <c r="E288" s="611" t="s">
        <v>405</v>
      </c>
      <c r="F288" s="60">
        <v>45737</v>
      </c>
      <c r="G288" s="60">
        <v>45759</v>
      </c>
      <c r="H288" s="72" t="s">
        <v>994</v>
      </c>
      <c r="I288" s="611">
        <f>VLOOKUP($D288,$D$323:$M$362,6,FALSE)</f>
        <v>271.04000000000002</v>
      </c>
      <c r="J288" s="611">
        <f>VLOOKUP($D288,$D$323:$M$362,7,FALSE)</f>
        <v>3.36</v>
      </c>
      <c r="K288" s="611">
        <f>VLOOKUP($D288,$D$323:$M$362,8,FALSE)</f>
        <v>34.15</v>
      </c>
      <c r="L288" s="611">
        <f>VLOOKUP($D288,$D$323:$M$362,9,FALSE)</f>
        <v>1.599</v>
      </c>
      <c r="M288" s="947">
        <f>VLOOKUP($D288,$D$323:$M$362,10,FALSE)</f>
        <v>0.86599999999999999</v>
      </c>
      <c r="N288" s="29">
        <f t="shared" si="58"/>
        <v>6.49</v>
      </c>
      <c r="O288" s="29" t="s">
        <v>1212</v>
      </c>
      <c r="P288" s="947" t="s">
        <v>1415</v>
      </c>
      <c r="Q288" s="988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46" t="s">
        <v>68</v>
      </c>
      <c r="D289" s="611" t="str">
        <f>VLOOKUP(C289,'Location Summary'!$C$4:$D$603,2,0)</f>
        <v>DA+9</v>
      </c>
      <c r="E289" s="611" t="s">
        <v>1357</v>
      </c>
      <c r="F289" s="60">
        <v>45717</v>
      </c>
      <c r="G289" s="60">
        <v>45761</v>
      </c>
      <c r="H289" s="72" t="s">
        <v>1425</v>
      </c>
      <c r="I289" s="611">
        <v>323.91000000000003</v>
      </c>
      <c r="J289" s="611">
        <v>4.07</v>
      </c>
      <c r="K289" s="611">
        <v>47.75</v>
      </c>
      <c r="L289" s="611">
        <v>3.9489999999999998</v>
      </c>
      <c r="M289" s="947">
        <v>1.3660000000000001</v>
      </c>
      <c r="N289" s="29">
        <f t="shared" si="58"/>
        <v>10.51</v>
      </c>
      <c r="O289" s="29" t="s">
        <v>1178</v>
      </c>
      <c r="P289" s="947" t="s">
        <v>767</v>
      </c>
      <c r="Q289" s="988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46" t="s">
        <v>591</v>
      </c>
      <c r="D290" s="611" t="str">
        <f>VLOOKUP(C290,'Location Summary'!$C$4:$D$676,2,0)</f>
        <v>DA+6</v>
      </c>
      <c r="E290" s="611" t="s">
        <v>405</v>
      </c>
      <c r="F290" s="60">
        <v>45756</v>
      </c>
      <c r="G290" s="60">
        <v>45762</v>
      </c>
      <c r="H290" s="72" t="s">
        <v>994</v>
      </c>
      <c r="I290" s="611">
        <f>VLOOKUP($D290,$D$323:$M$362,6,FALSE)</f>
        <v>289.83999999999997</v>
      </c>
      <c r="J290" s="611">
        <f>VLOOKUP($D290,$D$323:$M$362,7,FALSE)</f>
        <v>3.61</v>
      </c>
      <c r="K290" s="611">
        <f>VLOOKUP($D290,$D$323:$M$362,8,FALSE)</f>
        <v>37.299999999999997</v>
      </c>
      <c r="L290" s="611">
        <f>VLOOKUP($D290,$D$323:$M$362,9,FALSE)</f>
        <v>2.093</v>
      </c>
      <c r="M290" s="947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47" t="s">
        <v>1424</v>
      </c>
      <c r="Q290" s="988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46" t="s">
        <v>1260</v>
      </c>
      <c r="D291" s="611" t="str">
        <f>VLOOKUP(C291,'Location Summary'!$C$4:$D$676,2,0)</f>
        <v>DA+3</v>
      </c>
      <c r="E291" s="611" t="s">
        <v>405</v>
      </c>
      <c r="F291" s="60">
        <v>45757</v>
      </c>
      <c r="G291" s="60">
        <v>45762</v>
      </c>
      <c r="H291" s="72" t="s">
        <v>1175</v>
      </c>
      <c r="I291" s="611">
        <f>VLOOKUP($D291,$D$323:$M$362,6,FALSE)</f>
        <v>289.83999999999997</v>
      </c>
      <c r="J291" s="611">
        <f>VLOOKUP($D291,$D$323:$M$362,7,FALSE)</f>
        <v>3.61</v>
      </c>
      <c r="K291" s="611">
        <f>VLOOKUP($D291,$D$323:$M$362,8,FALSE)</f>
        <v>37.299999999999997</v>
      </c>
      <c r="L291" s="611">
        <f>VLOOKUP($D291,$D$323:$M$362,9,FALSE)</f>
        <v>2.093</v>
      </c>
      <c r="M291" s="947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47" t="s">
        <v>1106</v>
      </c>
      <c r="Q291" s="988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46" t="s">
        <v>11</v>
      </c>
      <c r="D292" s="611" t="str">
        <f>VLOOKUP(C292,'Location Summary'!$C$4:$D$676,2,0)</f>
        <v>DD60+18</v>
      </c>
      <c r="E292" s="611" t="s">
        <v>1357</v>
      </c>
      <c r="F292" s="60">
        <v>45743</v>
      </c>
      <c r="G292" s="60">
        <v>45763</v>
      </c>
      <c r="H292" s="72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47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47" t="s">
        <v>1106</v>
      </c>
      <c r="Q292" s="988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46" t="s">
        <v>67</v>
      </c>
      <c r="D293" s="611" t="str">
        <f>VLOOKUP(C293,'Location Summary'!$C$4:$D$603,2,0)</f>
        <v>DB1+9</v>
      </c>
      <c r="E293" s="611" t="s">
        <v>1357</v>
      </c>
      <c r="F293" s="60">
        <v>45711</v>
      </c>
      <c r="G293" s="60">
        <v>45764</v>
      </c>
      <c r="H293" s="72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47" t="s">
        <v>767</v>
      </c>
      <c r="Q293" s="988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46" t="s">
        <v>1258</v>
      </c>
      <c r="D294" s="611" t="str">
        <f>VLOOKUP(C294,'Location Summary'!$C$4:$D$676,2,0)</f>
        <v>DD45+3</v>
      </c>
      <c r="E294" s="611" t="s">
        <v>405</v>
      </c>
      <c r="F294" s="60">
        <v>45755</v>
      </c>
      <c r="G294" s="60">
        <v>45765</v>
      </c>
      <c r="H294" s="72" t="s">
        <v>1426</v>
      </c>
      <c r="I294" s="611">
        <f t="shared" ref="I294:I319" si="59">VLOOKUP($D294,$D$323:$M$362,6,FALSE)</f>
        <v>876</v>
      </c>
      <c r="J294" s="611">
        <f t="shared" ref="J294:J319" si="60">VLOOKUP($D294,$D$323:$M$362,7,FALSE)</f>
        <v>11.58</v>
      </c>
      <c r="K294" s="611">
        <f t="shared" ref="K294:K319" si="61">VLOOKUP($D294,$D$323:$M$362,8,FALSE)</f>
        <v>118.71</v>
      </c>
      <c r="L294" s="611">
        <f t="shared" ref="L294:L319" si="62">VLOOKUP($D294,$D$323:$M$362,9,FALSE)</f>
        <v>10.694000000000001</v>
      </c>
      <c r="M294" s="947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47" t="s">
        <v>1106</v>
      </c>
      <c r="Q294" s="988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46" t="s">
        <v>1268</v>
      </c>
      <c r="D295" s="611" t="str">
        <f>VLOOKUP(C295,'Location Summary'!$C$4:$D$676,2,0)</f>
        <v>DA+6</v>
      </c>
      <c r="E295" s="611" t="s">
        <v>405</v>
      </c>
      <c r="F295" s="60">
        <v>45763</v>
      </c>
      <c r="G295" s="60">
        <v>45766</v>
      </c>
      <c r="H295" s="72" t="s">
        <v>1175</v>
      </c>
      <c r="I295" s="611">
        <f t="shared" si="59"/>
        <v>289.83999999999997</v>
      </c>
      <c r="J295" s="611">
        <f t="shared" si="60"/>
        <v>3.61</v>
      </c>
      <c r="K295" s="611">
        <f t="shared" si="61"/>
        <v>37.299999999999997</v>
      </c>
      <c r="L295" s="611">
        <f t="shared" si="62"/>
        <v>2.093</v>
      </c>
      <c r="M295" s="947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47" t="s">
        <v>1106</v>
      </c>
      <c r="Q295" s="988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46" t="s">
        <v>181</v>
      </c>
      <c r="D296" s="611" t="str">
        <f>VLOOKUP(C296,'Location Summary'!$C$4:$D$676,2,0)</f>
        <v>DA+6</v>
      </c>
      <c r="E296" s="611" t="s">
        <v>405</v>
      </c>
      <c r="F296" s="60">
        <v>45736</v>
      </c>
      <c r="G296" s="60">
        <v>45769</v>
      </c>
      <c r="H296" s="72" t="s">
        <v>1169</v>
      </c>
      <c r="I296" s="611">
        <f t="shared" si="59"/>
        <v>289.83999999999997</v>
      </c>
      <c r="J296" s="611">
        <f t="shared" si="60"/>
        <v>3.61</v>
      </c>
      <c r="K296" s="611">
        <f t="shared" si="61"/>
        <v>37.299999999999997</v>
      </c>
      <c r="L296" s="611">
        <f t="shared" si="62"/>
        <v>2.093</v>
      </c>
      <c r="M296" s="947">
        <f t="shared" si="63"/>
        <v>0.86599999999999999</v>
      </c>
      <c r="N296" s="29">
        <f t="shared" si="58"/>
        <v>7.39</v>
      </c>
      <c r="O296" s="29" t="s">
        <v>1438</v>
      </c>
      <c r="P296" s="947" t="s">
        <v>1415</v>
      </c>
      <c r="Q296" s="988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46" t="s">
        <v>1257</v>
      </c>
      <c r="D297" s="611" t="str">
        <f>VLOOKUP(C297,'Location Summary'!$C$4:$D$676,2,0)</f>
        <v>DA+6</v>
      </c>
      <c r="E297" s="611" t="s">
        <v>405</v>
      </c>
      <c r="F297" s="60">
        <v>45766</v>
      </c>
      <c r="G297" s="60">
        <v>45770</v>
      </c>
      <c r="H297" s="72" t="s">
        <v>1437</v>
      </c>
      <c r="I297" s="611">
        <f t="shared" si="59"/>
        <v>289.83999999999997</v>
      </c>
      <c r="J297" s="611">
        <f t="shared" si="60"/>
        <v>3.61</v>
      </c>
      <c r="K297" s="611">
        <f t="shared" si="61"/>
        <v>37.299999999999997</v>
      </c>
      <c r="L297" s="611">
        <f t="shared" si="62"/>
        <v>2.093</v>
      </c>
      <c r="M297" s="947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47" t="s">
        <v>1106</v>
      </c>
      <c r="Q297" s="988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46" t="s">
        <v>180</v>
      </c>
      <c r="D298" s="611" t="str">
        <f>VLOOKUP(C298,'Location Summary'!$C$4:$D$676,2,0)</f>
        <v>DA+6</v>
      </c>
      <c r="E298" s="611" t="s">
        <v>405</v>
      </c>
      <c r="F298" s="60">
        <v>45736</v>
      </c>
      <c r="G298" s="60">
        <v>45771</v>
      </c>
      <c r="H298" s="72" t="s">
        <v>1169</v>
      </c>
      <c r="I298" s="611">
        <f t="shared" si="59"/>
        <v>289.83999999999997</v>
      </c>
      <c r="J298" s="611">
        <f t="shared" si="60"/>
        <v>3.61</v>
      </c>
      <c r="K298" s="611">
        <f t="shared" si="61"/>
        <v>37.299999999999997</v>
      </c>
      <c r="L298" s="611">
        <f t="shared" si="62"/>
        <v>2.093</v>
      </c>
      <c r="M298" s="947">
        <f t="shared" si="63"/>
        <v>0.86599999999999999</v>
      </c>
      <c r="N298" s="29">
        <f t="shared" si="58"/>
        <v>7.39</v>
      </c>
      <c r="O298" s="29" t="s">
        <v>1438</v>
      </c>
      <c r="P298" s="947" t="s">
        <v>1415</v>
      </c>
      <c r="Q298" s="988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46" t="s">
        <v>484</v>
      </c>
      <c r="D299" s="611" t="str">
        <f>VLOOKUP(C299,'Location Summary'!$C$4:$D$676,2,0)</f>
        <v>DB1+12</v>
      </c>
      <c r="E299" s="611" t="s">
        <v>405</v>
      </c>
      <c r="F299" s="60">
        <v>45763</v>
      </c>
      <c r="G299" s="60">
        <v>45772</v>
      </c>
      <c r="H299" s="72" t="s">
        <v>990</v>
      </c>
      <c r="I299" s="611">
        <f t="shared" si="59"/>
        <v>462.88</v>
      </c>
      <c r="J299" s="611">
        <f t="shared" si="60"/>
        <v>5.94</v>
      </c>
      <c r="K299" s="611">
        <f t="shared" si="61"/>
        <v>67.91</v>
      </c>
      <c r="L299" s="611">
        <f t="shared" si="62"/>
        <v>3.1507999999999998</v>
      </c>
      <c r="M299" s="947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47" t="s">
        <v>1106</v>
      </c>
      <c r="Q299" s="988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46" t="s">
        <v>256</v>
      </c>
      <c r="D300" s="611" t="str">
        <f>VLOOKUP(C300,'Location Summary'!$C$4:$D$676,2,0)</f>
        <v>DB2+9</v>
      </c>
      <c r="E300" s="611" t="s">
        <v>405</v>
      </c>
      <c r="F300" s="60">
        <v>45767</v>
      </c>
      <c r="G300" s="60">
        <v>45772</v>
      </c>
      <c r="H300" s="72" t="s">
        <v>1175</v>
      </c>
      <c r="I300" s="611">
        <f t="shared" si="59"/>
        <v>566.29</v>
      </c>
      <c r="J300" s="611">
        <f t="shared" si="60"/>
        <v>7.34</v>
      </c>
      <c r="K300" s="611">
        <f t="shared" si="61"/>
        <v>86.35</v>
      </c>
      <c r="L300" s="611">
        <f t="shared" si="62"/>
        <v>4.2603999999999997</v>
      </c>
      <c r="M300" s="947">
        <f t="shared" si="63"/>
        <v>1.768</v>
      </c>
      <c r="N300" s="29">
        <f t="shared" si="64"/>
        <v>16.2</v>
      </c>
      <c r="O300" s="29" t="s">
        <v>1365</v>
      </c>
      <c r="P300" s="947" t="s">
        <v>1106</v>
      </c>
      <c r="Q300" s="988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46" t="s">
        <v>179</v>
      </c>
      <c r="D301" s="611" t="str">
        <f>VLOOKUP(C301,'Location Summary'!$C$4:$D$676,2,0)</f>
        <v>DA+0</v>
      </c>
      <c r="E301" s="611" t="s">
        <v>405</v>
      </c>
      <c r="F301" s="60">
        <v>45770</v>
      </c>
      <c r="G301" s="60">
        <v>45776</v>
      </c>
      <c r="H301" s="72" t="s">
        <v>1169</v>
      </c>
      <c r="I301" s="611">
        <f t="shared" si="59"/>
        <v>271.04000000000002</v>
      </c>
      <c r="J301" s="611">
        <f t="shared" si="60"/>
        <v>3.36</v>
      </c>
      <c r="K301" s="611">
        <f t="shared" si="61"/>
        <v>34.15</v>
      </c>
      <c r="L301" s="611">
        <f t="shared" si="62"/>
        <v>1.599</v>
      </c>
      <c r="M301" s="947">
        <f t="shared" si="63"/>
        <v>0.86599999999999999</v>
      </c>
      <c r="N301" s="29">
        <f t="shared" si="64"/>
        <v>6.49</v>
      </c>
      <c r="O301" s="29" t="s">
        <v>1365</v>
      </c>
      <c r="P301" s="947" t="s">
        <v>1415</v>
      </c>
      <c r="Q301" s="988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8" t="s">
        <v>599</v>
      </c>
      <c r="D302" s="65" t="str">
        <f>VLOOKUP(C302,'Location Summary'!$C$4:$D$676,2,0)</f>
        <v>DA+3</v>
      </c>
      <c r="E302" s="65" t="s">
        <v>405</v>
      </c>
      <c r="F302" s="110">
        <v>45772</v>
      </c>
      <c r="G302" s="110">
        <v>45779</v>
      </c>
      <c r="H302" s="63" t="s">
        <v>994</v>
      </c>
      <c r="I302" s="65">
        <f t="shared" si="59"/>
        <v>289.83999999999997</v>
      </c>
      <c r="J302" s="65">
        <f t="shared" si="60"/>
        <v>3.61</v>
      </c>
      <c r="K302" s="65">
        <f t="shared" si="61"/>
        <v>37.299999999999997</v>
      </c>
      <c r="L302" s="65">
        <f t="shared" si="62"/>
        <v>2.093</v>
      </c>
      <c r="M302" s="557">
        <f t="shared" si="63"/>
        <v>0.86599999999999999</v>
      </c>
      <c r="N302" s="115">
        <f t="shared" si="64"/>
        <v>7.39</v>
      </c>
      <c r="O302" s="115" t="s">
        <v>1365</v>
      </c>
      <c r="P302" s="557" t="s">
        <v>1415</v>
      </c>
      <c r="Q302" s="988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46" t="s">
        <v>263</v>
      </c>
      <c r="D303" s="611" t="str">
        <f>VLOOKUP(C303,'Location Summary'!$C$4:$D$676,2,0)</f>
        <v>DB1+12</v>
      </c>
      <c r="E303" s="611" t="s">
        <v>405</v>
      </c>
      <c r="F303" s="60">
        <v>45758</v>
      </c>
      <c r="G303" s="60">
        <v>45780</v>
      </c>
      <c r="H303" s="72" t="s">
        <v>1432</v>
      </c>
      <c r="I303" s="1006">
        <f t="shared" si="59"/>
        <v>462.88</v>
      </c>
      <c r="J303" s="611">
        <f t="shared" si="60"/>
        <v>5.94</v>
      </c>
      <c r="K303" s="611">
        <f t="shared" si="61"/>
        <v>67.91</v>
      </c>
      <c r="L303" s="611">
        <f t="shared" si="62"/>
        <v>3.1507999999999998</v>
      </c>
      <c r="M303" s="947">
        <f t="shared" si="63"/>
        <v>1.752</v>
      </c>
      <c r="N303" s="29">
        <f t="shared" si="64"/>
        <v>12.64</v>
      </c>
      <c r="O303" s="29" t="s">
        <v>1185</v>
      </c>
      <c r="P303" s="947" t="s">
        <v>1106</v>
      </c>
      <c r="Q303" s="988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46" t="s">
        <v>1246</v>
      </c>
      <c r="D304" s="611" t="str">
        <f>VLOOKUP(C304,'Location Summary'!$C$4:$D$676,2,0)</f>
        <v>DB1+9</v>
      </c>
      <c r="E304" s="611" t="s">
        <v>405</v>
      </c>
      <c r="F304" s="60">
        <v>45776</v>
      </c>
      <c r="G304" s="60">
        <v>45782</v>
      </c>
      <c r="H304" s="72" t="s">
        <v>1175</v>
      </c>
      <c r="I304" s="611">
        <f t="shared" si="59"/>
        <v>484.04</v>
      </c>
      <c r="J304" s="611">
        <f t="shared" si="60"/>
        <v>6.23</v>
      </c>
      <c r="K304" s="611">
        <f t="shared" si="61"/>
        <v>70.319999999999993</v>
      </c>
      <c r="L304" s="611">
        <f t="shared" si="62"/>
        <v>3.3719999999999999</v>
      </c>
      <c r="M304" s="947">
        <f t="shared" si="63"/>
        <v>1.768</v>
      </c>
      <c r="N304" s="29">
        <f t="shared" si="64"/>
        <v>13.2</v>
      </c>
      <c r="O304" s="29" t="s">
        <v>1365</v>
      </c>
      <c r="P304" s="947" t="s">
        <v>1415</v>
      </c>
      <c r="Q304" s="988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46" t="s">
        <v>1247</v>
      </c>
      <c r="D305" s="611" t="str">
        <f>VLOOKUP(C305,'Location Summary'!$C$4:$D$676,2,0)</f>
        <v>DB1+12</v>
      </c>
      <c r="E305" s="611" t="s">
        <v>405</v>
      </c>
      <c r="F305" s="60">
        <v>45782</v>
      </c>
      <c r="G305" s="60">
        <v>45784</v>
      </c>
      <c r="H305" s="72" t="s">
        <v>1175</v>
      </c>
      <c r="I305" s="611">
        <f t="shared" si="59"/>
        <v>462.88</v>
      </c>
      <c r="J305" s="611">
        <f t="shared" si="60"/>
        <v>5.94</v>
      </c>
      <c r="K305" s="611">
        <f t="shared" si="61"/>
        <v>67.91</v>
      </c>
      <c r="L305" s="611">
        <f t="shared" si="62"/>
        <v>3.1507999999999998</v>
      </c>
      <c r="M305" s="947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47" t="s">
        <v>1415</v>
      </c>
      <c r="Q305" s="988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46" t="s">
        <v>428</v>
      </c>
      <c r="D306" s="611" t="str">
        <f>VLOOKUP(C306,'Location Summary'!$C$4:$D$676,2,0)</f>
        <v>DA-3</v>
      </c>
      <c r="E306" s="611" t="s">
        <v>405</v>
      </c>
      <c r="F306" s="60">
        <v>45773</v>
      </c>
      <c r="G306" s="60">
        <v>45786</v>
      </c>
      <c r="H306" s="72" t="s">
        <v>1442</v>
      </c>
      <c r="I306" s="611">
        <f t="shared" si="59"/>
        <v>271.04000000000002</v>
      </c>
      <c r="J306" s="611">
        <f t="shared" si="60"/>
        <v>3.36</v>
      </c>
      <c r="K306" s="611">
        <f t="shared" si="61"/>
        <v>34.15</v>
      </c>
      <c r="L306" s="611">
        <f t="shared" si="62"/>
        <v>1.599</v>
      </c>
      <c r="M306" s="947">
        <f t="shared" si="63"/>
        <v>0.86599999999999999</v>
      </c>
      <c r="N306" s="29">
        <f t="shared" si="65"/>
        <v>6.49</v>
      </c>
      <c r="O306" s="29" t="s">
        <v>1430</v>
      </c>
      <c r="P306" s="947" t="s">
        <v>1106</v>
      </c>
      <c r="Q306" s="988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46" t="s">
        <v>54</v>
      </c>
      <c r="D307" s="611" t="str">
        <f>VLOOKUP(C307,'Location Summary'!$C$4:$D$676,2,0)</f>
        <v>DB1+0</v>
      </c>
      <c r="E307" s="611" t="s">
        <v>405</v>
      </c>
      <c r="F307" s="60">
        <v>45775</v>
      </c>
      <c r="G307" s="60">
        <v>45790</v>
      </c>
      <c r="H307" s="72" t="s">
        <v>1169</v>
      </c>
      <c r="I307" s="611">
        <f t="shared" si="59"/>
        <v>479.12</v>
      </c>
      <c r="J307" s="611">
        <f t="shared" si="60"/>
        <v>6.16</v>
      </c>
      <c r="K307" s="611">
        <f t="shared" si="61"/>
        <v>69.760000000000005</v>
      </c>
      <c r="L307" s="611">
        <f t="shared" si="62"/>
        <v>3.26</v>
      </c>
      <c r="M307" s="947">
        <f t="shared" si="63"/>
        <v>1.768</v>
      </c>
      <c r="N307" s="29">
        <f t="shared" si="65"/>
        <v>13.01</v>
      </c>
      <c r="O307" s="29" t="s">
        <v>1185</v>
      </c>
      <c r="P307" s="947" t="s">
        <v>1106</v>
      </c>
      <c r="Q307" s="988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46" t="s">
        <v>427</v>
      </c>
      <c r="D308" s="611" t="str">
        <f>VLOOKUP(C308,'Location Summary'!$C$4:$D$676,2,0)</f>
        <v>DA+0</v>
      </c>
      <c r="E308" s="611" t="s">
        <v>405</v>
      </c>
      <c r="F308" s="60">
        <v>45782</v>
      </c>
      <c r="G308" s="60">
        <v>45790</v>
      </c>
      <c r="H308" s="72" t="s">
        <v>1442</v>
      </c>
      <c r="I308" s="611">
        <f t="shared" si="59"/>
        <v>271.04000000000002</v>
      </c>
      <c r="J308" s="611">
        <f t="shared" si="60"/>
        <v>3.36</v>
      </c>
      <c r="K308" s="611">
        <f t="shared" si="61"/>
        <v>34.15</v>
      </c>
      <c r="L308" s="611">
        <f t="shared" si="62"/>
        <v>1.599</v>
      </c>
      <c r="M308" s="947">
        <f t="shared" si="63"/>
        <v>0.86599999999999999</v>
      </c>
      <c r="N308" s="29">
        <f t="shared" si="65"/>
        <v>6.49</v>
      </c>
      <c r="O308" s="29" t="s">
        <v>1430</v>
      </c>
      <c r="P308" s="947" t="s">
        <v>1106</v>
      </c>
      <c r="Q308" s="988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46" t="s">
        <v>177</v>
      </c>
      <c r="D309" s="611" t="str">
        <f>VLOOKUP(C309,'Location Summary'!$C$4:$D$676,2,0)</f>
        <v>DA+3</v>
      </c>
      <c r="E309" s="611" t="s">
        <v>405</v>
      </c>
      <c r="F309" s="60">
        <v>45787</v>
      </c>
      <c r="G309" s="60">
        <v>45795</v>
      </c>
      <c r="H309" s="72" t="s">
        <v>1442</v>
      </c>
      <c r="I309" s="611">
        <f t="shared" si="59"/>
        <v>289.83999999999997</v>
      </c>
      <c r="J309" s="611">
        <f t="shared" si="60"/>
        <v>3.61</v>
      </c>
      <c r="K309" s="611">
        <f t="shared" si="61"/>
        <v>37.299999999999997</v>
      </c>
      <c r="L309" s="611">
        <f t="shared" si="62"/>
        <v>2.093</v>
      </c>
      <c r="M309" s="947">
        <f t="shared" si="63"/>
        <v>0.86599999999999999</v>
      </c>
      <c r="N309" s="29">
        <f t="shared" si="65"/>
        <v>7.39</v>
      </c>
      <c r="O309" s="29" t="s">
        <v>1185</v>
      </c>
      <c r="P309" s="947" t="s">
        <v>1106</v>
      </c>
      <c r="Q309" s="988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46" t="s">
        <v>176</v>
      </c>
      <c r="D310" s="611" t="str">
        <f>VLOOKUP(C310,'Location Summary'!$C$4:$D$676,2,0)</f>
        <v>DA+1.5</v>
      </c>
      <c r="E310" s="611" t="s">
        <v>405</v>
      </c>
      <c r="F310" s="60">
        <v>45795</v>
      </c>
      <c r="G310" s="60">
        <v>45799</v>
      </c>
      <c r="H310" s="72" t="s">
        <v>1442</v>
      </c>
      <c r="I310" s="611">
        <f t="shared" si="59"/>
        <v>289.83999999999997</v>
      </c>
      <c r="J310" s="611">
        <f t="shared" si="60"/>
        <v>3.61</v>
      </c>
      <c r="K310" s="611">
        <f t="shared" si="61"/>
        <v>37.299999999999997</v>
      </c>
      <c r="L310" s="611">
        <f t="shared" si="62"/>
        <v>2.093</v>
      </c>
      <c r="M310" s="947">
        <f t="shared" si="63"/>
        <v>0.86599999999999999</v>
      </c>
      <c r="N310" s="29">
        <f t="shared" si="65"/>
        <v>7.39</v>
      </c>
      <c r="O310" s="29" t="s">
        <v>1414</v>
      </c>
      <c r="P310" s="947" t="s">
        <v>1106</v>
      </c>
      <c r="Q310" s="988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8" t="s">
        <v>52</v>
      </c>
      <c r="D311" s="65" t="str">
        <f>VLOOKUP(C311,'Location Summary'!$C$4:$D$676,2,0)</f>
        <v>DD60+3</v>
      </c>
      <c r="E311" s="65" t="s">
        <v>405</v>
      </c>
      <c r="F311" s="110">
        <v>45795</v>
      </c>
      <c r="G311" s="110">
        <v>45803</v>
      </c>
      <c r="H311" s="63" t="s">
        <v>1175</v>
      </c>
      <c r="I311" s="65">
        <f t="shared" si="59"/>
        <v>1025.83</v>
      </c>
      <c r="J311" s="65">
        <f t="shared" si="60"/>
        <v>13.65</v>
      </c>
      <c r="K311" s="557">
        <f t="shared" si="61"/>
        <v>190.99</v>
      </c>
      <c r="L311" s="65">
        <f t="shared" si="62"/>
        <v>11.554</v>
      </c>
      <c r="M311" s="557">
        <f t="shared" si="63"/>
        <v>3.1593010000000001</v>
      </c>
      <c r="N311" s="115">
        <f t="shared" si="65"/>
        <v>36.99</v>
      </c>
      <c r="O311" s="115" t="s">
        <v>1464</v>
      </c>
      <c r="P311" s="557" t="s">
        <v>1106</v>
      </c>
      <c r="Q311" s="988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46" t="s">
        <v>53</v>
      </c>
      <c r="D312" s="611" t="str">
        <f>VLOOKUP(C312,'Location Summary'!$C$4:$D$676,2,0)</f>
        <v>DD60+3</v>
      </c>
      <c r="E312" s="611" t="s">
        <v>405</v>
      </c>
      <c r="F312" s="60">
        <v>45795</v>
      </c>
      <c r="G312" s="60">
        <v>45810</v>
      </c>
      <c r="H312" s="72" t="s">
        <v>1175</v>
      </c>
      <c r="I312" s="611">
        <f t="shared" si="59"/>
        <v>1025.83</v>
      </c>
      <c r="J312" s="611">
        <f t="shared" si="60"/>
        <v>13.65</v>
      </c>
      <c r="K312" s="947">
        <f t="shared" si="61"/>
        <v>190.99</v>
      </c>
      <c r="L312" s="611">
        <f t="shared" si="62"/>
        <v>11.554</v>
      </c>
      <c r="M312" s="947">
        <f t="shared" si="63"/>
        <v>3.1593010000000001</v>
      </c>
      <c r="N312" s="29">
        <f t="shared" si="65"/>
        <v>36.99</v>
      </c>
      <c r="O312" s="29" t="s">
        <v>1430</v>
      </c>
      <c r="P312" s="947" t="s">
        <v>1106</v>
      </c>
      <c r="Q312" s="988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46" t="s">
        <v>265</v>
      </c>
      <c r="D313" s="611" t="str">
        <f>VLOOKUP(C313,'Location Summary'!$C$4:$D$676,2,0)</f>
        <v>DD45+0</v>
      </c>
      <c r="E313" s="611" t="s">
        <v>405</v>
      </c>
      <c r="F313" s="60">
        <v>45804</v>
      </c>
      <c r="G313" s="60">
        <v>45816</v>
      </c>
      <c r="H313" s="72" t="s">
        <v>990</v>
      </c>
      <c r="I313" s="611">
        <f t="shared" si="59"/>
        <v>852</v>
      </c>
      <c r="J313" s="611">
        <f t="shared" si="60"/>
        <v>11.25</v>
      </c>
      <c r="K313" s="611">
        <f t="shared" si="61"/>
        <v>116.5</v>
      </c>
      <c r="L313" s="611">
        <f t="shared" si="62"/>
        <v>10.087999999999999</v>
      </c>
      <c r="M313" s="947">
        <f t="shared" si="63"/>
        <v>2.4947029999999999</v>
      </c>
      <c r="N313" s="29">
        <f t="shared" si="65"/>
        <v>26.28</v>
      </c>
      <c r="O313" s="29" t="s">
        <v>1430</v>
      </c>
      <c r="P313" s="947" t="s">
        <v>1106</v>
      </c>
      <c r="Q313" s="988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46" t="s">
        <v>266</v>
      </c>
      <c r="D314" s="611" t="str">
        <f>VLOOKUP(C314,'Location Summary'!$C$4:$D$676,2,0)</f>
        <v>DB1+9</v>
      </c>
      <c r="E314" s="611" t="s">
        <v>405</v>
      </c>
      <c r="F314" s="60">
        <v>45816</v>
      </c>
      <c r="G314" s="60">
        <v>45822</v>
      </c>
      <c r="H314" s="72" t="s">
        <v>990</v>
      </c>
      <c r="I314" s="611">
        <f t="shared" si="59"/>
        <v>484.04</v>
      </c>
      <c r="J314" s="611">
        <f t="shared" si="60"/>
        <v>6.23</v>
      </c>
      <c r="K314" s="611">
        <f t="shared" si="61"/>
        <v>70.319999999999993</v>
      </c>
      <c r="L314" s="611">
        <f t="shared" si="62"/>
        <v>3.3719999999999999</v>
      </c>
      <c r="M314" s="947">
        <f t="shared" si="63"/>
        <v>1.768</v>
      </c>
      <c r="N314" s="29">
        <f t="shared" si="65"/>
        <v>13.2</v>
      </c>
      <c r="O314" s="29" t="s">
        <v>1430</v>
      </c>
      <c r="P314" s="947" t="s">
        <v>1106</v>
      </c>
      <c r="Q314" s="988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46" t="s">
        <v>268</v>
      </c>
      <c r="D315" s="611" t="str">
        <f>VLOOKUP(C315,'Location Summary'!$C$4:$D$676,2,0)</f>
        <v>DD60+0</v>
      </c>
      <c r="E315" s="611" t="s">
        <v>405</v>
      </c>
      <c r="F315" s="60">
        <v>45820</v>
      </c>
      <c r="G315" s="60">
        <v>45835</v>
      </c>
      <c r="H315" s="72" t="s">
        <v>1442</v>
      </c>
      <c r="I315" s="611">
        <f t="shared" si="59"/>
        <v>997.27</v>
      </c>
      <c r="J315" s="611">
        <f t="shared" si="60"/>
        <v>13.25</v>
      </c>
      <c r="K315" s="611">
        <f t="shared" si="61"/>
        <v>185.89</v>
      </c>
      <c r="L315" s="611">
        <f t="shared" si="62"/>
        <v>10.698</v>
      </c>
      <c r="M315" s="947">
        <f t="shared" si="63"/>
        <v>3.1593010000000001</v>
      </c>
      <c r="N315" s="29">
        <f t="shared" si="65"/>
        <v>35.479999999999997</v>
      </c>
      <c r="O315" s="29" t="s">
        <v>1365</v>
      </c>
      <c r="P315" s="947" t="s">
        <v>1209</v>
      </c>
      <c r="Q315" s="988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8" t="s">
        <v>1252</v>
      </c>
      <c r="D316" s="65" t="str">
        <f>VLOOKUP(C316,'Location Summary'!$C$4:$D$676,2,0)</f>
        <v>DA+0</v>
      </c>
      <c r="E316" s="726" t="s">
        <v>405</v>
      </c>
      <c r="F316" s="110">
        <v>45835</v>
      </c>
      <c r="G316" s="110">
        <v>45843</v>
      </c>
      <c r="H316" s="63" t="s">
        <v>1442</v>
      </c>
      <c r="I316" s="557">
        <f t="shared" si="59"/>
        <v>271.04000000000002</v>
      </c>
      <c r="J316" s="65">
        <f t="shared" si="60"/>
        <v>3.36</v>
      </c>
      <c r="K316" s="65">
        <f t="shared" si="61"/>
        <v>34.15</v>
      </c>
      <c r="L316" s="65">
        <f t="shared" si="62"/>
        <v>1.599</v>
      </c>
      <c r="M316" s="557">
        <f t="shared" si="63"/>
        <v>0.86599999999999999</v>
      </c>
      <c r="N316" s="115">
        <f t="shared" si="65"/>
        <v>6.49</v>
      </c>
      <c r="O316" s="115" t="s">
        <v>1365</v>
      </c>
      <c r="P316" s="557" t="s">
        <v>1106</v>
      </c>
      <c r="Q316" s="988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46" t="s">
        <v>1250</v>
      </c>
      <c r="D317" s="611" t="str">
        <f>VLOOKUP(C317,'Location Summary'!$C$4:$D$676,2,0)</f>
        <v>DD45+0</v>
      </c>
      <c r="E317" s="611" t="s">
        <v>405</v>
      </c>
      <c r="F317" s="60">
        <v>45843</v>
      </c>
      <c r="G317" s="60">
        <v>45852</v>
      </c>
      <c r="H317" s="72" t="s">
        <v>1442</v>
      </c>
      <c r="I317" s="611">
        <f t="shared" si="59"/>
        <v>852</v>
      </c>
      <c r="J317" s="611">
        <f t="shared" si="60"/>
        <v>11.25</v>
      </c>
      <c r="K317" s="611">
        <f t="shared" si="61"/>
        <v>116.5</v>
      </c>
      <c r="L317" s="611">
        <f t="shared" si="62"/>
        <v>10.087999999999999</v>
      </c>
      <c r="M317" s="947">
        <f t="shared" si="63"/>
        <v>2.4947029999999999</v>
      </c>
      <c r="N317" s="29">
        <f t="shared" si="65"/>
        <v>26.28</v>
      </c>
      <c r="O317" s="29" t="s">
        <v>1365</v>
      </c>
      <c r="P317" s="947" t="s">
        <v>1106</v>
      </c>
      <c r="Q317" s="988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8" t="s">
        <v>1777</v>
      </c>
      <c r="D318" s="65" t="s">
        <v>215</v>
      </c>
      <c r="E318" s="726" t="s">
        <v>405</v>
      </c>
      <c r="F318" s="110">
        <v>46032</v>
      </c>
      <c r="G318" s="110">
        <v>46045</v>
      </c>
      <c r="H318" s="63" t="s">
        <v>1169</v>
      </c>
      <c r="I318" s="65">
        <f t="shared" si="59"/>
        <v>566.29</v>
      </c>
      <c r="J318" s="65">
        <f t="shared" si="60"/>
        <v>7.34</v>
      </c>
      <c r="K318" s="65">
        <f t="shared" si="61"/>
        <v>86.35</v>
      </c>
      <c r="L318" s="65">
        <f t="shared" si="62"/>
        <v>4.2603999999999997</v>
      </c>
      <c r="M318" s="557">
        <f t="shared" si="63"/>
        <v>1.768</v>
      </c>
      <c r="N318" s="115">
        <f t="shared" si="65"/>
        <v>16.2</v>
      </c>
      <c r="O318" s="115" t="s">
        <v>1491</v>
      </c>
      <c r="P318" s="557" t="s">
        <v>1106</v>
      </c>
      <c r="Q318" s="988" t="s">
        <v>255</v>
      </c>
      <c r="R318" s="13">
        <f t="shared" si="50"/>
        <v>723.096</v>
      </c>
    </row>
    <row r="319" spans="1:18" ht="21.75" customHeight="1">
      <c r="A319" s="1149">
        <f>SUBTOTAL(103,$C$5:C319)</f>
        <v>315</v>
      </c>
      <c r="B319" s="10">
        <v>2</v>
      </c>
      <c r="C319" s="668" t="s">
        <v>1778</v>
      </c>
      <c r="D319" s="65" t="s">
        <v>430</v>
      </c>
      <c r="E319" s="726" t="s">
        <v>405</v>
      </c>
      <c r="F319" s="110">
        <v>46046</v>
      </c>
      <c r="G319" s="110">
        <v>46061</v>
      </c>
      <c r="H319" s="63" t="s">
        <v>1169</v>
      </c>
      <c r="I319" s="65">
        <f t="shared" si="59"/>
        <v>689.93</v>
      </c>
      <c r="J319" s="65">
        <f t="shared" si="60"/>
        <v>9.0299999999999994</v>
      </c>
      <c r="K319" s="65">
        <f t="shared" si="61"/>
        <v>112.22</v>
      </c>
      <c r="L319" s="557">
        <f t="shared" si="62"/>
        <v>5.8468</v>
      </c>
      <c r="M319" s="557">
        <f t="shared" si="63"/>
        <v>2.2349290000000002</v>
      </c>
      <c r="N319" s="115">
        <f t="shared" si="65"/>
        <v>21.18</v>
      </c>
      <c r="O319" s="115" t="s">
        <v>1491</v>
      </c>
      <c r="P319" s="557" t="s">
        <v>1106</v>
      </c>
      <c r="Q319" s="988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8" t="s">
        <v>1779</v>
      </c>
      <c r="D320" s="65" t="s">
        <v>215</v>
      </c>
      <c r="E320" s="726" t="s">
        <v>405</v>
      </c>
      <c r="F320" s="110">
        <v>46075</v>
      </c>
      <c r="G320" s="110">
        <v>46086</v>
      </c>
      <c r="H320" s="63" t="s">
        <v>1169</v>
      </c>
      <c r="I320" s="557">
        <v>566.29</v>
      </c>
      <c r="J320" s="65">
        <v>7.34</v>
      </c>
      <c r="K320" s="65">
        <v>86.35</v>
      </c>
      <c r="L320" s="65">
        <v>4.2603999999999997</v>
      </c>
      <c r="M320" s="557">
        <v>1.768</v>
      </c>
      <c r="N320" s="115">
        <v>16.2</v>
      </c>
      <c r="O320" s="115" t="s">
        <v>1491</v>
      </c>
      <c r="P320" s="557" t="s">
        <v>1106</v>
      </c>
      <c r="Q320" s="988" t="s">
        <v>255</v>
      </c>
      <c r="R320" s="13">
        <f t="shared" si="50"/>
        <v>723.096</v>
      </c>
    </row>
    <row r="321" spans="1:17" ht="9.75" customHeight="1">
      <c r="A321" s="13"/>
      <c r="B321" s="13"/>
      <c r="C321" s="994"/>
      <c r="D321" s="995"/>
      <c r="E321" s="996"/>
      <c r="F321" s="997"/>
      <c r="G321" s="998"/>
      <c r="H321" s="999"/>
      <c r="I321" s="13"/>
      <c r="J321" s="13"/>
      <c r="K321" s="13"/>
      <c r="L321" s="13"/>
      <c r="M321" s="279"/>
      <c r="N321" s="279"/>
      <c r="O321" s="279"/>
      <c r="P321" s="733"/>
      <c r="Q321" s="1000"/>
    </row>
    <row r="322" spans="1:17">
      <c r="D322" s="35" t="s">
        <v>750</v>
      </c>
      <c r="I322" s="69" t="s">
        <v>853</v>
      </c>
      <c r="J322" s="69" t="s">
        <v>281</v>
      </c>
      <c r="K322" s="69" t="s">
        <v>282</v>
      </c>
      <c r="L322" s="69" t="s">
        <v>854</v>
      </c>
      <c r="M322" s="69" t="s">
        <v>855</v>
      </c>
      <c r="N322" s="69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1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1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1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1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1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1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1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1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26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1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1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1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1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1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54">
        <v>4.2603999999999997</v>
      </c>
      <c r="M337" s="29">
        <v>1.768</v>
      </c>
      <c r="N337" s="451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4">
        <v>4.2603999999999997</v>
      </c>
      <c r="M338" s="29">
        <v>1.768</v>
      </c>
      <c r="N338" s="451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4">
        <v>4.2603999999999997</v>
      </c>
      <c r="M339" s="29">
        <v>1.768</v>
      </c>
      <c r="N339" s="451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4">
        <v>4.2603999999999997</v>
      </c>
      <c r="M340" s="29">
        <v>1.768</v>
      </c>
      <c r="N340" s="451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1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1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1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1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15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15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1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1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1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1">
        <f t="shared" si="66"/>
        <v>21.18</v>
      </c>
    </row>
    <row r="351" spans="4:14">
      <c r="D351" s="3" t="s">
        <v>280</v>
      </c>
      <c r="I351" s="81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1">
        <f t="shared" si="66"/>
        <v>26.28</v>
      </c>
    </row>
    <row r="352" spans="4:14">
      <c r="D352" s="3" t="s">
        <v>178</v>
      </c>
      <c r="I352" s="81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1">
        <f t="shared" si="66"/>
        <v>26.28</v>
      </c>
    </row>
    <row r="353" spans="4:14">
      <c r="D353" s="3" t="s">
        <v>183</v>
      </c>
      <c r="I353" s="81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1">
        <f t="shared" si="66"/>
        <v>27.19</v>
      </c>
    </row>
    <row r="354" spans="4:14">
      <c r="D354" s="3" t="s">
        <v>231</v>
      </c>
      <c r="I354" s="81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1">
        <f t="shared" si="66"/>
        <v>27.19</v>
      </c>
    </row>
    <row r="355" spans="4:14">
      <c r="D355" s="3" t="s">
        <v>208</v>
      </c>
      <c r="I355" s="81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1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1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1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1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1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1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1">
        <f t="shared" si="66"/>
        <v>37.979999999999997</v>
      </c>
    </row>
    <row r="362" spans="4:14">
      <c r="D362" s="3" t="s">
        <v>431</v>
      </c>
      <c r="I362" s="81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1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1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1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1">
        <f t="shared" si="66"/>
        <v>38.619999999999997</v>
      </c>
    </row>
    <row r="555" spans="1:17">
      <c r="A555" s="13"/>
      <c r="B555" s="13"/>
      <c r="C555" s="118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8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8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6"/>
      <c r="C558" s="119"/>
      <c r="D558" s="106"/>
      <c r="E558" s="106"/>
      <c r="F558" s="106"/>
      <c r="G558" s="106"/>
      <c r="H558" s="107"/>
      <c r="I558" s="147"/>
      <c r="J558" s="108"/>
      <c r="K558" s="108"/>
      <c r="L558" s="145"/>
      <c r="M558" s="146"/>
      <c r="N558" s="109"/>
      <c r="O558" s="107"/>
      <c r="P558" s="107"/>
      <c r="Q558" s="107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23"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48" t="s">
        <v>1671</v>
      </c>
      <c r="B2" s="1648"/>
      <c r="C2" s="1648"/>
      <c r="D2" s="1648"/>
      <c r="E2" s="1648"/>
      <c r="F2" s="1648"/>
      <c r="G2" s="1648"/>
      <c r="H2" s="1648"/>
    </row>
    <row r="3" spans="1:8" ht="26.25" customHeight="1">
      <c r="A3" s="1203" t="s">
        <v>1665</v>
      </c>
      <c r="B3" s="1203" t="s">
        <v>1666</v>
      </c>
      <c r="C3" s="1203" t="s">
        <v>44</v>
      </c>
      <c r="D3" s="1203" t="s">
        <v>1667</v>
      </c>
      <c r="E3" s="1203" t="s">
        <v>1677</v>
      </c>
      <c r="F3" s="1203" t="s">
        <v>1668</v>
      </c>
      <c r="G3" s="1203" t="s">
        <v>1669</v>
      </c>
      <c r="H3" s="1203" t="s">
        <v>1670</v>
      </c>
    </row>
    <row r="4" spans="1:8">
      <c r="A4" s="71">
        <v>1</v>
      </c>
      <c r="B4" s="1202" t="s">
        <v>268</v>
      </c>
      <c r="C4" s="1202" t="s">
        <v>188</v>
      </c>
      <c r="D4" s="71" t="s">
        <v>389</v>
      </c>
      <c r="E4" s="71">
        <v>918</v>
      </c>
      <c r="F4" s="92"/>
      <c r="G4" s="71"/>
      <c r="H4" s="92"/>
    </row>
    <row r="5" spans="1:8">
      <c r="A5" s="71">
        <v>2</v>
      </c>
      <c r="B5" s="727" t="s">
        <v>1250</v>
      </c>
      <c r="C5" s="727" t="s">
        <v>178</v>
      </c>
      <c r="D5" s="71" t="s">
        <v>500</v>
      </c>
      <c r="E5" s="71">
        <v>918</v>
      </c>
      <c r="F5" s="92"/>
      <c r="G5" s="92" t="s">
        <v>255</v>
      </c>
      <c r="H5" s="92" t="s">
        <v>1672</v>
      </c>
    </row>
    <row r="6" spans="1:8">
      <c r="A6" s="71">
        <v>3</v>
      </c>
      <c r="B6" s="615" t="s">
        <v>1258</v>
      </c>
      <c r="C6" s="615" t="s">
        <v>183</v>
      </c>
      <c r="D6" s="71" t="s">
        <v>500</v>
      </c>
      <c r="E6" s="71">
        <v>918</v>
      </c>
      <c r="F6" s="92"/>
      <c r="G6" s="92" t="s">
        <v>255</v>
      </c>
      <c r="H6" s="92" t="s">
        <v>1672</v>
      </c>
    </row>
    <row r="7" spans="1:8">
      <c r="A7" s="71">
        <v>4</v>
      </c>
      <c r="B7" s="615" t="s">
        <v>1265</v>
      </c>
      <c r="C7" s="615" t="s">
        <v>211</v>
      </c>
      <c r="D7" s="71" t="s">
        <v>391</v>
      </c>
      <c r="E7" s="71">
        <f t="shared" ref="E7:E18" si="0">23*36</f>
        <v>828</v>
      </c>
      <c r="F7" s="92"/>
      <c r="G7" s="92" t="s">
        <v>255</v>
      </c>
      <c r="H7" s="92" t="s">
        <v>1672</v>
      </c>
    </row>
    <row r="8" spans="1:8">
      <c r="A8" s="71">
        <v>5</v>
      </c>
      <c r="B8" s="727" t="s">
        <v>256</v>
      </c>
      <c r="C8" s="727" t="s">
        <v>215</v>
      </c>
      <c r="D8" s="71" t="s">
        <v>390</v>
      </c>
      <c r="E8" s="71">
        <f t="shared" si="0"/>
        <v>828</v>
      </c>
      <c r="F8" s="92"/>
      <c r="G8" s="92" t="s">
        <v>255</v>
      </c>
      <c r="H8" s="92" t="s">
        <v>1672</v>
      </c>
    </row>
    <row r="9" spans="1:8">
      <c r="A9" s="71">
        <v>6</v>
      </c>
      <c r="B9" s="615" t="s">
        <v>892</v>
      </c>
      <c r="C9" s="615" t="s">
        <v>226</v>
      </c>
      <c r="D9" s="71" t="s">
        <v>391</v>
      </c>
      <c r="E9" s="71">
        <f t="shared" si="0"/>
        <v>828</v>
      </c>
      <c r="F9" s="92"/>
      <c r="G9" s="92" t="s">
        <v>255</v>
      </c>
      <c r="H9" s="92" t="s">
        <v>1672</v>
      </c>
    </row>
    <row r="10" spans="1:8">
      <c r="A10" s="71">
        <v>7</v>
      </c>
      <c r="B10" s="615" t="s">
        <v>257</v>
      </c>
      <c r="C10" s="615" t="s">
        <v>227</v>
      </c>
      <c r="D10" s="71" t="s">
        <v>391</v>
      </c>
      <c r="E10" s="71">
        <f t="shared" si="0"/>
        <v>828</v>
      </c>
      <c r="F10" s="92"/>
      <c r="G10" s="92" t="s">
        <v>255</v>
      </c>
      <c r="H10" s="92" t="s">
        <v>1672</v>
      </c>
    </row>
    <row r="11" spans="1:8">
      <c r="A11" s="71">
        <v>8</v>
      </c>
      <c r="B11" s="615" t="s">
        <v>674</v>
      </c>
      <c r="C11" s="615" t="s">
        <v>403</v>
      </c>
      <c r="D11" s="71" t="s">
        <v>391</v>
      </c>
      <c r="E11" s="71">
        <f t="shared" si="0"/>
        <v>828</v>
      </c>
      <c r="F11" s="92"/>
      <c r="G11" s="92" t="s">
        <v>255</v>
      </c>
      <c r="H11" s="92" t="s">
        <v>1672</v>
      </c>
    </row>
    <row r="12" spans="1:8">
      <c r="A12" s="71">
        <v>9</v>
      </c>
      <c r="B12" s="615" t="s">
        <v>258</v>
      </c>
      <c r="C12" s="615" t="s">
        <v>211</v>
      </c>
      <c r="D12" s="71" t="s">
        <v>391</v>
      </c>
      <c r="E12" s="71">
        <f t="shared" si="0"/>
        <v>828</v>
      </c>
      <c r="F12" s="92"/>
      <c r="G12" s="92" t="s">
        <v>255</v>
      </c>
      <c r="H12" s="92" t="s">
        <v>1672</v>
      </c>
    </row>
    <row r="13" spans="1:8">
      <c r="A13" s="71">
        <v>10</v>
      </c>
      <c r="B13" s="615" t="s">
        <v>261</v>
      </c>
      <c r="C13" s="615" t="s">
        <v>184</v>
      </c>
      <c r="D13" s="71" t="s">
        <v>390</v>
      </c>
      <c r="E13" s="71">
        <f t="shared" si="0"/>
        <v>828</v>
      </c>
      <c r="F13" s="92"/>
      <c r="G13" s="92" t="s">
        <v>255</v>
      </c>
      <c r="H13" s="92" t="s">
        <v>1672</v>
      </c>
    </row>
    <row r="14" spans="1:8">
      <c r="A14" s="71">
        <v>11</v>
      </c>
      <c r="B14" s="615" t="s">
        <v>493</v>
      </c>
      <c r="C14" s="615" t="s">
        <v>227</v>
      </c>
      <c r="D14" s="71" t="s">
        <v>391</v>
      </c>
      <c r="E14" s="71">
        <f t="shared" si="0"/>
        <v>828</v>
      </c>
      <c r="F14" s="92"/>
      <c r="G14" s="92" t="s">
        <v>255</v>
      </c>
      <c r="H14" s="92" t="s">
        <v>1672</v>
      </c>
    </row>
    <row r="15" spans="1:8">
      <c r="A15" s="71">
        <v>12</v>
      </c>
      <c r="B15" s="615" t="s">
        <v>262</v>
      </c>
      <c r="C15" s="615" t="s">
        <v>197</v>
      </c>
      <c r="D15" s="71" t="s">
        <v>391</v>
      </c>
      <c r="E15" s="71">
        <f t="shared" si="0"/>
        <v>828</v>
      </c>
      <c r="F15" s="92"/>
      <c r="G15" s="92" t="s">
        <v>255</v>
      </c>
      <c r="H15" s="92" t="s">
        <v>1672</v>
      </c>
    </row>
    <row r="16" spans="1:8">
      <c r="A16" s="71">
        <v>13</v>
      </c>
      <c r="B16" s="615" t="s">
        <v>484</v>
      </c>
      <c r="C16" s="615" t="s">
        <v>403</v>
      </c>
      <c r="D16" s="71" t="s">
        <v>391</v>
      </c>
      <c r="E16" s="71">
        <f t="shared" si="0"/>
        <v>828</v>
      </c>
      <c r="F16" s="92"/>
      <c r="G16" s="92" t="s">
        <v>255</v>
      </c>
      <c r="H16" s="92" t="s">
        <v>1672</v>
      </c>
    </row>
    <row r="17" spans="1:8">
      <c r="A17" s="71">
        <v>14</v>
      </c>
      <c r="B17" s="615" t="s">
        <v>263</v>
      </c>
      <c r="C17" s="615" t="s">
        <v>403</v>
      </c>
      <c r="D17" s="71" t="s">
        <v>391</v>
      </c>
      <c r="E17" s="71">
        <f t="shared" si="0"/>
        <v>828</v>
      </c>
      <c r="F17" s="92"/>
      <c r="G17" s="92" t="s">
        <v>255</v>
      </c>
      <c r="H17" s="92" t="s">
        <v>1672</v>
      </c>
    </row>
    <row r="18" spans="1:8">
      <c r="A18" s="71">
        <v>15</v>
      </c>
      <c r="B18" s="615" t="s">
        <v>264</v>
      </c>
      <c r="C18" s="615" t="s">
        <v>227</v>
      </c>
      <c r="D18" s="71" t="s">
        <v>391</v>
      </c>
      <c r="E18" s="71">
        <f t="shared" si="0"/>
        <v>828</v>
      </c>
      <c r="F18" s="92"/>
      <c r="G18" s="92" t="s">
        <v>255</v>
      </c>
      <c r="H18" s="92" t="s">
        <v>1672</v>
      </c>
    </row>
    <row r="19" spans="1:8">
      <c r="A19" s="71">
        <v>16</v>
      </c>
      <c r="B19" s="615" t="s">
        <v>265</v>
      </c>
      <c r="C19" s="615" t="s">
        <v>178</v>
      </c>
      <c r="D19" s="71" t="s">
        <v>500</v>
      </c>
      <c r="E19" s="71">
        <v>918</v>
      </c>
      <c r="F19" s="92"/>
      <c r="G19" s="92" t="s">
        <v>255</v>
      </c>
      <c r="H19" s="92" t="s">
        <v>1672</v>
      </c>
    </row>
    <row r="20" spans="1:8">
      <c r="A20" s="71">
        <v>17</v>
      </c>
      <c r="B20" s="615" t="s">
        <v>266</v>
      </c>
      <c r="C20" s="615" t="s">
        <v>211</v>
      </c>
      <c r="D20" s="71" t="s">
        <v>391</v>
      </c>
      <c r="E20" s="71">
        <f>23*36</f>
        <v>828</v>
      </c>
      <c r="F20" s="92"/>
      <c r="G20" s="92"/>
      <c r="H20" s="92"/>
    </row>
    <row r="21" spans="1:8">
      <c r="A21" s="71">
        <v>18</v>
      </c>
      <c r="B21" s="615" t="s">
        <v>267</v>
      </c>
      <c r="C21" s="615" t="s">
        <v>209</v>
      </c>
      <c r="D21" s="71" t="s">
        <v>389</v>
      </c>
      <c r="E21" s="71">
        <v>918</v>
      </c>
      <c r="F21" s="92"/>
      <c r="G21" s="92"/>
      <c r="H21" s="92"/>
    </row>
    <row r="22" spans="1:8">
      <c r="A22" s="71">
        <v>19</v>
      </c>
      <c r="B22" s="615" t="s">
        <v>485</v>
      </c>
      <c r="C22" s="615" t="s">
        <v>211</v>
      </c>
      <c r="D22" s="71" t="s">
        <v>391</v>
      </c>
      <c r="E22" s="71">
        <f>23*36</f>
        <v>828</v>
      </c>
      <c r="F22" s="92"/>
      <c r="G22" s="92"/>
      <c r="H22" s="92"/>
    </row>
    <row r="23" spans="1:8">
      <c r="A23" s="71">
        <v>20</v>
      </c>
      <c r="B23" s="615" t="s">
        <v>11</v>
      </c>
      <c r="C23" s="615" t="s">
        <v>218</v>
      </c>
      <c r="D23" s="71" t="s">
        <v>389</v>
      </c>
      <c r="E23" s="71">
        <v>918</v>
      </c>
      <c r="F23" s="92"/>
      <c r="G23" s="92"/>
      <c r="H23" s="92"/>
    </row>
    <row r="24" spans="1:8">
      <c r="A24" s="71">
        <v>21</v>
      </c>
      <c r="B24" s="615" t="s">
        <v>167</v>
      </c>
      <c r="C24" s="615" t="s">
        <v>218</v>
      </c>
      <c r="D24" s="71" t="s">
        <v>389</v>
      </c>
      <c r="E24" s="71">
        <v>918</v>
      </c>
      <c r="F24" s="92"/>
      <c r="G24" s="92"/>
      <c r="H24" s="92"/>
    </row>
    <row r="25" spans="1:8">
      <c r="A25" s="71">
        <v>22</v>
      </c>
      <c r="B25" s="615" t="s">
        <v>12</v>
      </c>
      <c r="C25" s="615" t="s">
        <v>173</v>
      </c>
      <c r="D25" s="71" t="s">
        <v>499</v>
      </c>
      <c r="E25" s="71"/>
      <c r="F25" s="92"/>
      <c r="G25" s="92"/>
      <c r="H25" s="92"/>
    </row>
    <row r="26" spans="1:8">
      <c r="A26" s="71">
        <v>23</v>
      </c>
      <c r="B26" s="615" t="s">
        <v>13</v>
      </c>
      <c r="C26" s="615" t="s">
        <v>217</v>
      </c>
      <c r="D26" s="71" t="s">
        <v>1237</v>
      </c>
      <c r="E26" s="71"/>
      <c r="F26" s="92"/>
      <c r="G26" s="92"/>
      <c r="H26" s="92"/>
    </row>
    <row r="27" spans="1:8">
      <c r="A27" s="71">
        <v>24</v>
      </c>
      <c r="B27" s="615" t="s">
        <v>51</v>
      </c>
      <c r="C27" s="615" t="s">
        <v>229</v>
      </c>
      <c r="D27" s="71" t="s">
        <v>390</v>
      </c>
      <c r="E27" s="71">
        <f>23*36</f>
        <v>828</v>
      </c>
      <c r="F27" s="92"/>
      <c r="G27" s="92"/>
      <c r="H27" s="92"/>
    </row>
    <row r="28" spans="1:8">
      <c r="A28" s="71">
        <v>25</v>
      </c>
      <c r="B28" s="615" t="s">
        <v>52</v>
      </c>
      <c r="C28" s="615" t="s">
        <v>213</v>
      </c>
      <c r="D28" s="71" t="s">
        <v>389</v>
      </c>
      <c r="E28" s="71">
        <v>918</v>
      </c>
      <c r="F28" s="92"/>
      <c r="G28" s="92"/>
      <c r="H28" s="92"/>
    </row>
    <row r="29" spans="1:8">
      <c r="A29" s="71">
        <v>26</v>
      </c>
      <c r="B29" s="615" t="s">
        <v>53</v>
      </c>
      <c r="C29" s="615" t="s">
        <v>213</v>
      </c>
      <c r="D29" s="71" t="s">
        <v>389</v>
      </c>
      <c r="E29" s="71">
        <v>918</v>
      </c>
      <c r="F29" s="92"/>
      <c r="G29" s="92"/>
      <c r="H29" s="92"/>
    </row>
    <row r="30" spans="1:8">
      <c r="A30" s="71">
        <v>27</v>
      </c>
      <c r="B30" s="615" t="s">
        <v>54</v>
      </c>
      <c r="C30" s="615" t="s">
        <v>197</v>
      </c>
      <c r="D30" s="71" t="s">
        <v>391</v>
      </c>
      <c r="E30" s="71">
        <f>23*36</f>
        <v>828</v>
      </c>
      <c r="F30" s="92"/>
      <c r="G30" s="92"/>
      <c r="H30" s="92"/>
    </row>
    <row r="31" spans="1:8">
      <c r="A31" s="71">
        <v>28</v>
      </c>
      <c r="B31" s="615" t="s">
        <v>55</v>
      </c>
      <c r="C31" s="615" t="s">
        <v>430</v>
      </c>
      <c r="D31" s="71" t="s">
        <v>499</v>
      </c>
      <c r="E31" s="71"/>
      <c r="F31" s="92"/>
      <c r="G31" s="92"/>
      <c r="H31" s="92"/>
    </row>
    <row r="32" spans="1:8">
      <c r="A32" s="71">
        <v>29</v>
      </c>
      <c r="B32" s="615" t="s">
        <v>56</v>
      </c>
      <c r="C32" s="615" t="s">
        <v>215</v>
      </c>
      <c r="D32" s="71" t="s">
        <v>390</v>
      </c>
      <c r="E32" s="71">
        <f>23*36</f>
        <v>828</v>
      </c>
      <c r="F32" s="92"/>
      <c r="G32" s="92"/>
      <c r="H32" s="92"/>
    </row>
    <row r="33" spans="1:8">
      <c r="A33" s="71">
        <v>30</v>
      </c>
      <c r="B33" s="615" t="s">
        <v>676</v>
      </c>
      <c r="C33" s="615" t="s">
        <v>211</v>
      </c>
      <c r="D33" s="71" t="s">
        <v>391</v>
      </c>
      <c r="E33" s="71">
        <f>23*36</f>
        <v>828</v>
      </c>
      <c r="F33" s="92"/>
      <c r="G33" s="92"/>
      <c r="H33" s="92"/>
    </row>
    <row r="34" spans="1:8">
      <c r="A34" s="71">
        <v>31</v>
      </c>
      <c r="B34" s="615" t="s">
        <v>57</v>
      </c>
      <c r="C34" s="615" t="s">
        <v>186</v>
      </c>
      <c r="D34" s="71" t="s">
        <v>389</v>
      </c>
      <c r="E34" s="71">
        <v>918</v>
      </c>
      <c r="F34" s="92"/>
      <c r="G34" s="92"/>
      <c r="H34" s="92"/>
    </row>
    <row r="35" spans="1:8">
      <c r="A35" s="71">
        <v>32</v>
      </c>
      <c r="B35" s="615" t="s">
        <v>58</v>
      </c>
      <c r="C35" s="615" t="s">
        <v>186</v>
      </c>
      <c r="D35" s="71" t="s">
        <v>389</v>
      </c>
      <c r="E35" s="71">
        <v>918</v>
      </c>
      <c r="F35" s="92"/>
      <c r="G35" s="92"/>
      <c r="H35" s="92"/>
    </row>
    <row r="36" spans="1:8">
      <c r="A36" s="71">
        <v>33</v>
      </c>
      <c r="B36" s="615" t="s">
        <v>59</v>
      </c>
      <c r="C36" s="615" t="s">
        <v>431</v>
      </c>
      <c r="D36" s="71" t="s">
        <v>389</v>
      </c>
      <c r="E36" s="71">
        <v>918</v>
      </c>
      <c r="F36" s="92"/>
      <c r="G36" s="92"/>
      <c r="H36" s="92"/>
    </row>
    <row r="37" spans="1:8">
      <c r="A37" s="71">
        <v>34</v>
      </c>
      <c r="B37" s="615" t="s">
        <v>60</v>
      </c>
      <c r="C37" s="615" t="s">
        <v>431</v>
      </c>
      <c r="D37" s="71" t="s">
        <v>389</v>
      </c>
      <c r="E37" s="71">
        <v>918</v>
      </c>
      <c r="F37" s="92"/>
      <c r="G37" s="92"/>
      <c r="H37" s="92"/>
    </row>
    <row r="38" spans="1:8">
      <c r="A38" s="71">
        <v>35</v>
      </c>
      <c r="B38" s="615" t="s">
        <v>63</v>
      </c>
      <c r="C38" s="615" t="s">
        <v>173</v>
      </c>
      <c r="D38" s="71" t="s">
        <v>499</v>
      </c>
      <c r="E38" s="71"/>
      <c r="F38" s="92"/>
      <c r="G38" s="92"/>
      <c r="H38" s="92"/>
    </row>
    <row r="39" spans="1:8">
      <c r="A39" s="71">
        <v>36</v>
      </c>
      <c r="B39" s="615" t="s">
        <v>64</v>
      </c>
      <c r="C39" s="615" t="s">
        <v>185</v>
      </c>
      <c r="D39" s="71" t="s">
        <v>1237</v>
      </c>
      <c r="E39" s="71"/>
      <c r="F39" s="92"/>
      <c r="G39" s="92"/>
      <c r="H39" s="92"/>
    </row>
    <row r="40" spans="1:8">
      <c r="A40" s="71">
        <v>37</v>
      </c>
      <c r="B40" s="615" t="s">
        <v>900</v>
      </c>
      <c r="C40" s="615" t="s">
        <v>197</v>
      </c>
      <c r="D40" s="71" t="s">
        <v>391</v>
      </c>
      <c r="E40" s="71">
        <f t="shared" ref="E40:E50" si="1">23*36</f>
        <v>828</v>
      </c>
      <c r="F40" s="92"/>
      <c r="G40" s="92" t="s">
        <v>255</v>
      </c>
      <c r="H40" s="92" t="s">
        <v>1673</v>
      </c>
    </row>
    <row r="41" spans="1:8">
      <c r="A41" s="71">
        <v>38</v>
      </c>
      <c r="B41" s="615" t="s">
        <v>65</v>
      </c>
      <c r="C41" s="615" t="s">
        <v>197</v>
      </c>
      <c r="D41" s="71" t="s">
        <v>391</v>
      </c>
      <c r="E41" s="71">
        <f t="shared" si="1"/>
        <v>828</v>
      </c>
      <c r="F41" s="92"/>
      <c r="G41" s="92" t="s">
        <v>255</v>
      </c>
      <c r="H41" s="92" t="s">
        <v>1673</v>
      </c>
    </row>
    <row r="42" spans="1:8">
      <c r="A42" s="71">
        <v>39</v>
      </c>
      <c r="B42" s="615" t="s">
        <v>9</v>
      </c>
      <c r="C42" s="615" t="s">
        <v>197</v>
      </c>
      <c r="D42" s="71" t="s">
        <v>391</v>
      </c>
      <c r="E42" s="71">
        <f t="shared" si="1"/>
        <v>828</v>
      </c>
      <c r="F42" s="92"/>
      <c r="G42" s="92" t="s">
        <v>255</v>
      </c>
      <c r="H42" s="92" t="s">
        <v>1673</v>
      </c>
    </row>
    <row r="43" spans="1:8">
      <c r="A43" s="71">
        <v>40</v>
      </c>
      <c r="B43" s="615" t="s">
        <v>10</v>
      </c>
      <c r="C43" s="615" t="s">
        <v>184</v>
      </c>
      <c r="D43" s="71" t="s">
        <v>390</v>
      </c>
      <c r="E43" s="71">
        <f t="shared" si="1"/>
        <v>828</v>
      </c>
      <c r="F43" s="92"/>
      <c r="G43" s="92" t="s">
        <v>255</v>
      </c>
      <c r="H43" s="92" t="s">
        <v>1673</v>
      </c>
    </row>
    <row r="44" spans="1:8">
      <c r="A44" s="71">
        <v>41</v>
      </c>
      <c r="B44" s="615" t="s">
        <v>775</v>
      </c>
      <c r="C44" s="615" t="s">
        <v>211</v>
      </c>
      <c r="D44" s="71" t="s">
        <v>391</v>
      </c>
      <c r="E44" s="71">
        <f t="shared" si="1"/>
        <v>828</v>
      </c>
      <c r="F44" s="92"/>
      <c r="G44" s="92" t="s">
        <v>255</v>
      </c>
      <c r="H44" s="92" t="s">
        <v>1673</v>
      </c>
    </row>
    <row r="45" spans="1:8">
      <c r="A45" s="71">
        <v>42</v>
      </c>
      <c r="B45" s="615" t="s">
        <v>67</v>
      </c>
      <c r="C45" s="615" t="s">
        <v>211</v>
      </c>
      <c r="D45" s="71" t="s">
        <v>391</v>
      </c>
      <c r="E45" s="71">
        <f t="shared" si="1"/>
        <v>828</v>
      </c>
      <c r="F45" s="92"/>
      <c r="G45" s="92" t="s">
        <v>255</v>
      </c>
      <c r="H45" s="92" t="s">
        <v>1673</v>
      </c>
    </row>
    <row r="46" spans="1:8">
      <c r="A46" s="71">
        <v>43</v>
      </c>
      <c r="B46" s="727" t="s">
        <v>166</v>
      </c>
      <c r="C46" s="727" t="s">
        <v>227</v>
      </c>
      <c r="D46" s="71" t="s">
        <v>391</v>
      </c>
      <c r="E46" s="71">
        <f t="shared" si="1"/>
        <v>828</v>
      </c>
      <c r="F46" s="92"/>
      <c r="G46" s="92" t="s">
        <v>255</v>
      </c>
      <c r="H46" s="92" t="s">
        <v>1673</v>
      </c>
    </row>
    <row r="47" spans="1:8">
      <c r="A47" s="71">
        <v>44</v>
      </c>
      <c r="B47" s="727" t="s">
        <v>71</v>
      </c>
      <c r="C47" s="727" t="s">
        <v>184</v>
      </c>
      <c r="D47" s="71" t="s">
        <v>390</v>
      </c>
      <c r="E47" s="71">
        <f t="shared" si="1"/>
        <v>828</v>
      </c>
      <c r="F47" s="92"/>
      <c r="G47" s="92"/>
      <c r="H47" s="92"/>
    </row>
    <row r="48" spans="1:8">
      <c r="A48" s="71">
        <v>45</v>
      </c>
      <c r="B48" s="615" t="s">
        <v>8</v>
      </c>
      <c r="C48" s="615" t="s">
        <v>228</v>
      </c>
      <c r="D48" s="71" t="s">
        <v>390</v>
      </c>
      <c r="E48" s="71">
        <f t="shared" si="1"/>
        <v>828</v>
      </c>
      <c r="F48" s="92"/>
      <c r="G48" s="92"/>
      <c r="H48" s="92"/>
    </row>
    <row r="49" spans="1:8">
      <c r="A49" s="71">
        <v>46</v>
      </c>
      <c r="B49" s="615" t="s">
        <v>1071</v>
      </c>
      <c r="C49" s="615" t="s">
        <v>211</v>
      </c>
      <c r="D49" s="71" t="s">
        <v>391</v>
      </c>
      <c r="E49" s="71">
        <f t="shared" si="1"/>
        <v>828</v>
      </c>
      <c r="F49" s="92"/>
      <c r="G49" s="92"/>
      <c r="H49" s="92"/>
    </row>
    <row r="50" spans="1:8">
      <c r="A50" s="71">
        <v>47</v>
      </c>
      <c r="B50" s="727" t="s">
        <v>1777</v>
      </c>
      <c r="C50" s="727" t="s">
        <v>215</v>
      </c>
      <c r="D50" s="71" t="s">
        <v>390</v>
      </c>
      <c r="E50" s="71">
        <f t="shared" si="1"/>
        <v>828</v>
      </c>
      <c r="F50" s="92"/>
      <c r="G50" s="92"/>
      <c r="H50" s="92"/>
    </row>
    <row r="51" spans="1:8">
      <c r="A51" s="71">
        <v>48</v>
      </c>
      <c r="B51" s="727" t="s">
        <v>1778</v>
      </c>
      <c r="C51" s="727" t="s">
        <v>430</v>
      </c>
      <c r="D51" s="71" t="s">
        <v>499</v>
      </c>
      <c r="E51" s="71"/>
      <c r="F51" s="92"/>
      <c r="G51" s="92"/>
      <c r="H51" s="92"/>
    </row>
    <row r="52" spans="1:8">
      <c r="A52" s="71">
        <v>49</v>
      </c>
      <c r="B52" s="727" t="s">
        <v>1779</v>
      </c>
      <c r="C52" s="727" t="s">
        <v>215</v>
      </c>
      <c r="D52" s="71" t="s">
        <v>390</v>
      </c>
      <c r="E52" s="71">
        <f t="shared" ref="E52:E61" si="2">23*36</f>
        <v>828</v>
      </c>
      <c r="F52" s="92"/>
      <c r="G52" s="92"/>
      <c r="H52" s="92"/>
    </row>
    <row r="53" spans="1:8">
      <c r="A53" s="71">
        <v>50</v>
      </c>
      <c r="B53" s="615" t="s">
        <v>777</v>
      </c>
      <c r="C53" s="615" t="s">
        <v>197</v>
      </c>
      <c r="D53" s="71" t="s">
        <v>391</v>
      </c>
      <c r="E53" s="71">
        <f t="shared" si="2"/>
        <v>828</v>
      </c>
      <c r="F53" s="92"/>
      <c r="G53" s="92"/>
      <c r="H53" s="92"/>
    </row>
    <row r="54" spans="1:8">
      <c r="A54" s="71">
        <v>51</v>
      </c>
      <c r="B54" s="727" t="s">
        <v>72</v>
      </c>
      <c r="C54" s="727" t="s">
        <v>226</v>
      </c>
      <c r="D54" s="71" t="s">
        <v>391</v>
      </c>
      <c r="E54" s="71">
        <f t="shared" si="2"/>
        <v>828</v>
      </c>
      <c r="F54" s="92"/>
      <c r="G54" s="92" t="s">
        <v>255</v>
      </c>
      <c r="H54" s="92" t="s">
        <v>1673</v>
      </c>
    </row>
    <row r="55" spans="1:8">
      <c r="A55" s="71">
        <v>52</v>
      </c>
      <c r="B55" s="615" t="s">
        <v>73</v>
      </c>
      <c r="C55" s="615" t="s">
        <v>184</v>
      </c>
      <c r="D55" s="71" t="s">
        <v>390</v>
      </c>
      <c r="E55" s="71">
        <f t="shared" si="2"/>
        <v>828</v>
      </c>
      <c r="F55" s="92"/>
      <c r="G55" s="92" t="s">
        <v>255</v>
      </c>
      <c r="H55" s="92" t="s">
        <v>1673</v>
      </c>
    </row>
    <row r="56" spans="1:8">
      <c r="A56" s="71">
        <v>53</v>
      </c>
      <c r="B56" s="727" t="s">
        <v>74</v>
      </c>
      <c r="C56" s="727" t="s">
        <v>227</v>
      </c>
      <c r="D56" s="71" t="s">
        <v>391</v>
      </c>
      <c r="E56" s="71">
        <f t="shared" si="2"/>
        <v>828</v>
      </c>
      <c r="F56" s="92"/>
      <c r="G56" s="92"/>
      <c r="H56" s="92"/>
    </row>
    <row r="57" spans="1:8">
      <c r="A57" s="71">
        <v>54</v>
      </c>
      <c r="B57" s="615" t="s">
        <v>640</v>
      </c>
      <c r="C57" s="615" t="s">
        <v>211</v>
      </c>
      <c r="D57" s="71" t="s">
        <v>391</v>
      </c>
      <c r="E57" s="71">
        <f t="shared" si="2"/>
        <v>828</v>
      </c>
      <c r="F57" s="92"/>
      <c r="G57" s="92"/>
      <c r="H57" s="92"/>
    </row>
    <row r="58" spans="1:8">
      <c r="A58" s="71">
        <v>55</v>
      </c>
      <c r="B58" s="615" t="s">
        <v>75</v>
      </c>
      <c r="C58" s="615" t="s">
        <v>211</v>
      </c>
      <c r="D58" s="71" t="s">
        <v>391</v>
      </c>
      <c r="E58" s="71">
        <f t="shared" si="2"/>
        <v>828</v>
      </c>
      <c r="F58" s="92"/>
      <c r="G58" s="92"/>
      <c r="H58" s="92"/>
    </row>
    <row r="59" spans="1:8">
      <c r="A59" s="71">
        <v>56</v>
      </c>
      <c r="B59" s="615" t="s">
        <v>77</v>
      </c>
      <c r="C59" s="615" t="s">
        <v>184</v>
      </c>
      <c r="D59" s="71" t="s">
        <v>390</v>
      </c>
      <c r="E59" s="71">
        <f t="shared" si="2"/>
        <v>828</v>
      </c>
      <c r="F59" s="92"/>
      <c r="G59" s="92"/>
      <c r="H59" s="92"/>
    </row>
    <row r="60" spans="1:8">
      <c r="A60" s="71">
        <v>57</v>
      </c>
      <c r="B60" s="615" t="s">
        <v>1790</v>
      </c>
      <c r="C60" s="615" t="s">
        <v>211</v>
      </c>
      <c r="D60" s="71" t="s">
        <v>391</v>
      </c>
      <c r="E60" s="71">
        <f t="shared" si="2"/>
        <v>828</v>
      </c>
      <c r="F60" s="92"/>
      <c r="G60" s="92"/>
      <c r="H60" s="92"/>
    </row>
    <row r="61" spans="1:8">
      <c r="A61" s="71">
        <v>58</v>
      </c>
      <c r="B61" s="615" t="s">
        <v>78</v>
      </c>
      <c r="C61" s="615" t="s">
        <v>197</v>
      </c>
      <c r="D61" s="71" t="s">
        <v>391</v>
      </c>
      <c r="E61" s="71">
        <f t="shared" si="2"/>
        <v>828</v>
      </c>
      <c r="F61" s="92"/>
      <c r="G61" s="92"/>
      <c r="H61" s="92"/>
    </row>
    <row r="62" spans="1:8">
      <c r="A62" s="71">
        <v>59</v>
      </c>
      <c r="B62" s="727" t="s">
        <v>1791</v>
      </c>
      <c r="C62" s="727" t="s">
        <v>1664</v>
      </c>
      <c r="D62" s="71" t="s">
        <v>1227</v>
      </c>
      <c r="E62" s="71"/>
      <c r="F62" s="92"/>
      <c r="G62" s="92"/>
      <c r="H62" s="92"/>
    </row>
    <row r="63" spans="1:8">
      <c r="A63" s="71">
        <v>60</v>
      </c>
      <c r="B63" s="615" t="s">
        <v>7</v>
      </c>
      <c r="C63" s="615" t="s">
        <v>227</v>
      </c>
      <c r="D63" s="71" t="s">
        <v>391</v>
      </c>
      <c r="E63" s="71">
        <f>23*36</f>
        <v>828</v>
      </c>
      <c r="F63" s="92"/>
      <c r="G63" s="92"/>
      <c r="H63" s="92"/>
    </row>
    <row r="64" spans="1:8">
      <c r="A64" s="71">
        <v>61</v>
      </c>
      <c r="B64" s="615" t="s">
        <v>1246</v>
      </c>
      <c r="C64" s="615" t="s">
        <v>211</v>
      </c>
      <c r="D64" s="71" t="s">
        <v>391</v>
      </c>
      <c r="E64" s="71">
        <f>23*36</f>
        <v>828</v>
      </c>
      <c r="F64" s="92"/>
      <c r="G64" s="92"/>
      <c r="H64" s="92"/>
    </row>
    <row r="65" spans="1:8">
      <c r="A65" s="71">
        <v>62</v>
      </c>
      <c r="B65" s="615" t="s">
        <v>1247</v>
      </c>
      <c r="C65" s="615" t="s">
        <v>403</v>
      </c>
      <c r="D65" s="71" t="s">
        <v>391</v>
      </c>
      <c r="E65" s="71">
        <f>23*36</f>
        <v>828</v>
      </c>
      <c r="F65" s="92"/>
      <c r="G65" s="92"/>
      <c r="H65" s="92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10" activePane="bottomLeft" state="frozen"/>
      <selection activeCell="D60" sqref="D60"/>
      <selection pane="bottomLeft" activeCell="J23" sqref="J23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649" t="str">
        <f>TA413_PBNTL!A1</f>
        <v xml:space="preserve"> TA413 : 765 KV D/C Bikaner III - Neemrana II TL02</v>
      </c>
      <c r="C1" s="1650"/>
      <c r="D1" s="1650"/>
      <c r="E1" s="1650"/>
      <c r="F1" s="1650"/>
      <c r="G1" s="1650"/>
      <c r="H1" s="1650"/>
      <c r="I1" s="1650"/>
      <c r="J1" s="1650"/>
      <c r="K1" s="1650"/>
      <c r="L1" s="1651"/>
    </row>
    <row r="2" spans="2:12">
      <c r="B2" s="100" t="s">
        <v>289</v>
      </c>
      <c r="C2" s="1652" t="s">
        <v>95</v>
      </c>
      <c r="D2" s="1652" t="s">
        <v>96</v>
      </c>
      <c r="E2" s="1652" t="s">
        <v>290</v>
      </c>
      <c r="F2" s="1652" t="s">
        <v>291</v>
      </c>
      <c r="G2" s="1652" t="s">
        <v>292</v>
      </c>
      <c r="H2" s="1652" t="s">
        <v>293</v>
      </c>
      <c r="I2" s="1649" t="s">
        <v>294</v>
      </c>
      <c r="J2" s="1650"/>
      <c r="K2" s="1651"/>
      <c r="L2" s="1652" t="s">
        <v>1</v>
      </c>
    </row>
    <row r="3" spans="2:12">
      <c r="B3" s="101" t="s">
        <v>295</v>
      </c>
      <c r="C3" s="1653"/>
      <c r="D3" s="1653"/>
      <c r="E3" s="1653"/>
      <c r="F3" s="1653"/>
      <c r="G3" s="1653"/>
      <c r="H3" s="1653"/>
      <c r="I3" s="101" t="s">
        <v>296</v>
      </c>
      <c r="J3" s="101" t="s">
        <v>297</v>
      </c>
      <c r="K3" s="101" t="s">
        <v>298</v>
      </c>
      <c r="L3" s="1653"/>
    </row>
    <row r="4" spans="2:12">
      <c r="B4" s="1649" t="s">
        <v>1772</v>
      </c>
      <c r="C4" s="1650"/>
      <c r="D4" s="1650"/>
      <c r="E4" s="1650"/>
      <c r="F4" s="1650"/>
      <c r="G4" s="1650"/>
      <c r="H4" s="1650"/>
      <c r="I4" s="1650"/>
      <c r="J4" s="1650"/>
      <c r="K4" s="1650"/>
      <c r="L4" s="1651"/>
    </row>
    <row r="5" spans="2:12" ht="29.5" customHeight="1">
      <c r="B5" s="126">
        <f>+SUBTOTAL(3,$C$5:$C5)</f>
        <v>1</v>
      </c>
      <c r="C5" s="126" t="s">
        <v>302</v>
      </c>
      <c r="D5" s="126" t="s">
        <v>350</v>
      </c>
      <c r="E5" s="127">
        <v>329.72800000000001</v>
      </c>
      <c r="F5" s="128" t="s">
        <v>943</v>
      </c>
      <c r="G5" s="126" t="s">
        <v>349</v>
      </c>
      <c r="H5" s="126" t="s">
        <v>50</v>
      </c>
      <c r="I5" s="1025" t="s">
        <v>1469</v>
      </c>
      <c r="J5" s="1025" t="s">
        <v>1469</v>
      </c>
      <c r="K5" s="129"/>
      <c r="L5" s="130"/>
    </row>
    <row r="6" spans="2:12" ht="29.5" customHeight="1">
      <c r="B6" s="126">
        <f>+SUBTOTAL(3,$C$5:$C6)</f>
        <v>2</v>
      </c>
      <c r="C6" s="126" t="s">
        <v>352</v>
      </c>
      <c r="D6" s="126" t="s">
        <v>353</v>
      </c>
      <c r="E6" s="127">
        <v>223.816</v>
      </c>
      <c r="F6" s="1294" t="s">
        <v>351</v>
      </c>
      <c r="G6" s="126" t="s">
        <v>1190</v>
      </c>
      <c r="H6" s="126" t="s">
        <v>50</v>
      </c>
      <c r="I6" s="126" t="s">
        <v>1441</v>
      </c>
      <c r="J6" s="126" t="s">
        <v>1441</v>
      </c>
      <c r="K6" s="129" t="s">
        <v>255</v>
      </c>
      <c r="L6" s="130" t="s">
        <v>1799</v>
      </c>
    </row>
    <row r="7" spans="2:12" ht="29.5" customHeight="1">
      <c r="B7" s="126">
        <f>+SUBTOTAL(3,$C$5:$C7)</f>
        <v>3</v>
      </c>
      <c r="C7" s="126" t="s">
        <v>357</v>
      </c>
      <c r="D7" s="126" t="s">
        <v>358</v>
      </c>
      <c r="E7" s="127">
        <v>259.048</v>
      </c>
      <c r="F7" s="128" t="s">
        <v>945</v>
      </c>
      <c r="G7" s="126" t="s">
        <v>349</v>
      </c>
      <c r="H7" s="126" t="s">
        <v>50</v>
      </c>
      <c r="I7" s="126" t="s">
        <v>1456</v>
      </c>
      <c r="J7" s="126" t="s">
        <v>1456</v>
      </c>
      <c r="K7" s="129"/>
      <c r="L7" s="130"/>
    </row>
    <row r="8" spans="2:12" ht="29.5" customHeight="1">
      <c r="B8" s="126">
        <f>+SUBTOTAL(3,$C$5:$C8)</f>
        <v>4</v>
      </c>
      <c r="C8" s="126" t="s">
        <v>359</v>
      </c>
      <c r="D8" s="126" t="s">
        <v>299</v>
      </c>
      <c r="E8" s="127">
        <v>244.029</v>
      </c>
      <c r="F8" s="1294" t="s">
        <v>944</v>
      </c>
      <c r="G8" s="126" t="s">
        <v>349</v>
      </c>
      <c r="H8" s="126" t="s">
        <v>50</v>
      </c>
      <c r="I8" s="126" t="s">
        <v>1457</v>
      </c>
      <c r="J8" s="126" t="s">
        <v>1457</v>
      </c>
      <c r="K8" s="129" t="s">
        <v>311</v>
      </c>
      <c r="L8" s="130" t="s">
        <v>1799</v>
      </c>
    </row>
    <row r="9" spans="2:12" ht="29.5" customHeight="1">
      <c r="B9" s="126">
        <f>+SUBTOTAL(3,$C$5:$C9)</f>
        <v>5</v>
      </c>
      <c r="C9" s="126" t="s">
        <v>300</v>
      </c>
      <c r="D9" s="126" t="s">
        <v>360</v>
      </c>
      <c r="E9" s="127">
        <v>203.47900000000001</v>
      </c>
      <c r="F9" s="1294" t="s">
        <v>361</v>
      </c>
      <c r="G9" s="126" t="s">
        <v>161</v>
      </c>
      <c r="H9" s="126" t="s">
        <v>50</v>
      </c>
      <c r="I9" s="126" t="s">
        <v>1458</v>
      </c>
      <c r="J9" s="126" t="s">
        <v>1458</v>
      </c>
      <c r="K9" s="129"/>
      <c r="L9" s="130" t="s">
        <v>1799</v>
      </c>
    </row>
    <row r="10" spans="2:12" ht="29.5" customHeight="1">
      <c r="B10" s="126">
        <v>6</v>
      </c>
      <c r="C10" s="126" t="s">
        <v>1270</v>
      </c>
      <c r="D10" s="126" t="s">
        <v>1271</v>
      </c>
      <c r="E10" s="127">
        <v>208</v>
      </c>
      <c r="F10" s="128" t="s">
        <v>1370</v>
      </c>
      <c r="G10" s="126" t="s">
        <v>349</v>
      </c>
      <c r="H10" s="126" t="s">
        <v>50</v>
      </c>
      <c r="I10" s="126" t="s">
        <v>1459</v>
      </c>
      <c r="J10" s="126" t="s">
        <v>1551</v>
      </c>
      <c r="K10" s="129"/>
      <c r="L10" s="130"/>
    </row>
    <row r="11" spans="2:12" ht="29.5" customHeight="1">
      <c r="B11" s="1654" t="s">
        <v>942</v>
      </c>
      <c r="C11" s="1655"/>
      <c r="D11" s="1655"/>
      <c r="E11" s="1655"/>
      <c r="F11" s="1655"/>
      <c r="G11" s="1655"/>
      <c r="H11" s="1655"/>
      <c r="I11" s="1655"/>
      <c r="J11" s="1655"/>
      <c r="K11" s="1655"/>
      <c r="L11" s="1656"/>
    </row>
    <row r="12" spans="2:12" ht="29.5" customHeight="1">
      <c r="B12" s="102">
        <f>+SUBTOTAL(3,$C$5:$C12)</f>
        <v>7</v>
      </c>
      <c r="C12" s="102" t="s">
        <v>301</v>
      </c>
      <c r="D12" s="102" t="s">
        <v>302</v>
      </c>
      <c r="E12" s="103">
        <v>242.893</v>
      </c>
      <c r="F12" s="104" t="s">
        <v>348</v>
      </c>
      <c r="G12" s="104"/>
      <c r="H12" s="126" t="s">
        <v>50</v>
      </c>
      <c r="I12" s="131" t="s">
        <v>1468</v>
      </c>
      <c r="J12" s="131" t="s">
        <v>1468</v>
      </c>
      <c r="K12" s="129" t="s">
        <v>255</v>
      </c>
      <c r="L12" s="1318" t="s">
        <v>255</v>
      </c>
    </row>
    <row r="13" spans="2:12" ht="29.5" customHeight="1">
      <c r="B13" s="102">
        <f>+SUBTOTAL(3,$C$5:$C13)</f>
        <v>8</v>
      </c>
      <c r="C13" s="102" t="s">
        <v>362</v>
      </c>
      <c r="D13" s="102" t="s">
        <v>363</v>
      </c>
      <c r="E13" s="103">
        <v>211.209</v>
      </c>
      <c r="F13" s="104" t="s">
        <v>1448</v>
      </c>
      <c r="G13" s="104"/>
      <c r="H13" s="126" t="s">
        <v>50</v>
      </c>
      <c r="I13" s="131" t="s">
        <v>1377</v>
      </c>
      <c r="J13" s="131" t="s">
        <v>1377</v>
      </c>
      <c r="K13" s="129"/>
      <c r="L13" s="130"/>
    </row>
    <row r="14" spans="2:12" hidden="1">
      <c r="B14" s="1649" t="s">
        <v>347</v>
      </c>
      <c r="C14" s="1650"/>
      <c r="D14" s="1650"/>
      <c r="E14" s="1650"/>
      <c r="F14" s="1650"/>
      <c r="G14" s="1650"/>
      <c r="H14" s="1650"/>
      <c r="I14" s="1650"/>
      <c r="J14" s="1650"/>
      <c r="K14" s="1650"/>
      <c r="L14" s="1651"/>
    </row>
    <row r="15" spans="2:12" hidden="1">
      <c r="B15" s="102">
        <f>+SUBTOTAL(3,$C$5:$C15)</f>
        <v>9</v>
      </c>
      <c r="C15" s="102" t="s">
        <v>346</v>
      </c>
      <c r="D15" s="102" t="s">
        <v>345</v>
      </c>
      <c r="E15" s="103">
        <v>311.12599999999998</v>
      </c>
      <c r="F15" s="104" t="s">
        <v>367</v>
      </c>
      <c r="G15" s="104"/>
      <c r="H15" s="128"/>
      <c r="I15" s="128"/>
      <c r="J15" s="131"/>
      <c r="K15" s="129"/>
      <c r="L15" s="105"/>
    </row>
    <row r="16" spans="2:12" hidden="1">
      <c r="B16" s="102">
        <f>+SUBTOTAL(3,$C$5:$C16)</f>
        <v>10</v>
      </c>
      <c r="C16" s="102" t="s">
        <v>364</v>
      </c>
      <c r="D16" s="102" t="s">
        <v>365</v>
      </c>
      <c r="E16" s="103">
        <v>4333.3690000000006</v>
      </c>
      <c r="F16" s="104" t="s">
        <v>366</v>
      </c>
      <c r="G16" s="104"/>
      <c r="H16" s="128"/>
      <c r="I16" s="128"/>
      <c r="J16" s="131"/>
      <c r="K16" s="129"/>
      <c r="L16" s="105"/>
    </row>
    <row r="17" spans="2:12" ht="29.5" customHeight="1">
      <c r="B17" s="1649" t="s">
        <v>343</v>
      </c>
      <c r="C17" s="1650"/>
      <c r="D17" s="1650"/>
      <c r="E17" s="1650"/>
      <c r="F17" s="1650"/>
      <c r="G17" s="1650"/>
      <c r="H17" s="1650"/>
      <c r="I17" s="1650"/>
      <c r="J17" s="1650"/>
      <c r="K17" s="1650"/>
      <c r="L17" s="1651"/>
    </row>
    <row r="18" spans="2:12" ht="29.5" customHeight="1">
      <c r="B18" s="102">
        <f>+SUBTOTAL(3,$C$5:$C18)</f>
        <v>11</v>
      </c>
      <c r="C18" s="102" t="s">
        <v>354</v>
      </c>
      <c r="D18" s="102" t="s">
        <v>355</v>
      </c>
      <c r="E18" s="103">
        <v>279.36</v>
      </c>
      <c r="F18" s="104" t="s">
        <v>356</v>
      </c>
      <c r="G18" s="104"/>
      <c r="H18" s="126" t="s">
        <v>50</v>
      </c>
      <c r="I18" s="131" t="s">
        <v>1467</v>
      </c>
      <c r="J18" s="131" t="s">
        <v>1467</v>
      </c>
      <c r="K18" s="129"/>
      <c r="L18" s="130"/>
    </row>
    <row r="19" spans="2:12" ht="29.5" hidden="1" customHeight="1">
      <c r="B19" s="1649" t="s">
        <v>344</v>
      </c>
      <c r="C19" s="1650"/>
      <c r="D19" s="1650"/>
      <c r="E19" s="1650"/>
      <c r="F19" s="1650"/>
      <c r="G19" s="1650"/>
      <c r="H19" s="1650"/>
      <c r="I19" s="1650"/>
      <c r="J19" s="1650"/>
      <c r="K19" s="1650"/>
      <c r="L19" s="1651"/>
    </row>
    <row r="20" spans="2:12" ht="21.75" hidden="1" customHeight="1">
      <c r="B20" s="102">
        <f>+SUBTOTAL(3,$C$5:$C20)</f>
        <v>12</v>
      </c>
      <c r="C20" s="102" t="s">
        <v>353</v>
      </c>
      <c r="D20" s="102" t="s">
        <v>368</v>
      </c>
      <c r="E20" s="103">
        <v>5020</v>
      </c>
      <c r="F20" s="104" t="s">
        <v>369</v>
      </c>
      <c r="G20" s="104"/>
      <c r="H20" s="104"/>
      <c r="I20" s="128"/>
      <c r="J20" s="128"/>
      <c r="K20" s="105"/>
      <c r="L20" s="102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5"/>
  <sheetViews>
    <sheetView showGridLines="0" zoomScaleNormal="100" workbookViewId="0">
      <pane ySplit="4" topLeftCell="A196" activePane="bottomLeft" state="frozen"/>
      <selection pane="bottomLeft" activeCell="H210" sqref="H210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3" bestFit="1" customWidth="1"/>
    <col min="4" max="4" width="13.26953125" style="48" customWidth="1"/>
    <col min="5" max="5" width="13" style="93" customWidth="1"/>
    <col min="6" max="6" width="15" style="48" bestFit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76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2"/>
      <c r="D1" s="43"/>
      <c r="E1" s="43"/>
      <c r="F1" s="44"/>
      <c r="G1" s="44"/>
      <c r="H1" s="44"/>
      <c r="I1" s="90" t="str">
        <f>TA413_PBNTL!M1</f>
        <v>26.06.2026</v>
      </c>
      <c r="K1" s="77"/>
    </row>
    <row r="2" spans="1:14" s="45" customFormat="1">
      <c r="A2" s="165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57"/>
      <c r="C2" s="1657"/>
      <c r="D2" s="1657"/>
      <c r="E2" s="1657"/>
      <c r="F2" s="1657"/>
      <c r="G2" s="1657"/>
      <c r="H2" s="1657"/>
      <c r="I2" s="1657"/>
      <c r="J2" s="94"/>
      <c r="K2" s="77"/>
    </row>
    <row r="3" spans="1:14" s="46" customFormat="1" ht="14.5" customHeight="1">
      <c r="A3" s="1658" t="s">
        <v>284</v>
      </c>
      <c r="B3" s="1658"/>
      <c r="C3" s="1658"/>
      <c r="D3" s="1658"/>
      <c r="E3" s="1658"/>
      <c r="F3" s="1658"/>
      <c r="G3" s="1658"/>
      <c r="H3" s="1658"/>
      <c r="I3" s="1658"/>
      <c r="J3" s="1658"/>
      <c r="K3" s="1658"/>
      <c r="L3" s="1658"/>
      <c r="M3" s="1658"/>
      <c r="N3" s="1658"/>
    </row>
    <row r="4" spans="1:14" s="47" customFormat="1" ht="59.25" customHeight="1">
      <c r="A4" s="91" t="s">
        <v>146</v>
      </c>
      <c r="B4" s="91" t="s">
        <v>43</v>
      </c>
      <c r="C4" s="91" t="s">
        <v>147</v>
      </c>
      <c r="D4" s="91" t="s">
        <v>14</v>
      </c>
      <c r="E4" s="91" t="s">
        <v>148</v>
      </c>
      <c r="F4" s="91" t="s">
        <v>149</v>
      </c>
      <c r="G4" s="91" t="s">
        <v>306</v>
      </c>
      <c r="H4" s="91" t="s">
        <v>150</v>
      </c>
      <c r="I4" s="91" t="s">
        <v>151</v>
      </c>
      <c r="J4" s="91" t="s">
        <v>152</v>
      </c>
      <c r="K4" s="91" t="s">
        <v>235</v>
      </c>
      <c r="L4" s="91" t="s">
        <v>236</v>
      </c>
      <c r="M4" s="91" t="s">
        <v>237</v>
      </c>
      <c r="N4" s="91" t="s">
        <v>238</v>
      </c>
    </row>
    <row r="5" spans="1:14" s="717" customFormat="1" ht="27.75" customHeight="1">
      <c r="A5" s="700">
        <v>1</v>
      </c>
      <c r="B5" s="701" t="s">
        <v>413</v>
      </c>
      <c r="C5" s="702" t="str">
        <f>VLOOKUP(B5,'Location Summary'!$C$4:$D$603,2,FALSE)</f>
        <v>DA+3</v>
      </c>
      <c r="D5" s="703" t="s">
        <v>99</v>
      </c>
      <c r="E5" s="704">
        <v>45446</v>
      </c>
      <c r="F5" s="704">
        <v>45449</v>
      </c>
      <c r="G5" s="704">
        <v>45450</v>
      </c>
      <c r="H5" s="705">
        <f>(G5-E5)</f>
        <v>4</v>
      </c>
      <c r="I5" s="735" t="s">
        <v>751</v>
      </c>
      <c r="J5" s="705" t="s">
        <v>665</v>
      </c>
      <c r="K5" s="715" t="s">
        <v>657</v>
      </c>
      <c r="L5" s="716">
        <v>9784543356</v>
      </c>
      <c r="M5" s="716" t="s">
        <v>660</v>
      </c>
      <c r="N5" s="716" t="s">
        <v>658</v>
      </c>
    </row>
    <row r="6" spans="1:14" s="717" customFormat="1" ht="27.75" customHeight="1">
      <c r="A6" s="700">
        <v>2</v>
      </c>
      <c r="B6" s="701" t="s">
        <v>414</v>
      </c>
      <c r="C6" s="702" t="str">
        <f>VLOOKUP(B6,'Location Summary'!$C$4:$D$603,2,FALSE)</f>
        <v>DA+3</v>
      </c>
      <c r="D6" s="703" t="s">
        <v>99</v>
      </c>
      <c r="E6" s="704">
        <v>45446</v>
      </c>
      <c r="F6" s="704">
        <v>45449</v>
      </c>
      <c r="G6" s="704">
        <v>45450</v>
      </c>
      <c r="H6" s="705">
        <f t="shared" ref="H6:H65" si="0">(G6-E6)</f>
        <v>4</v>
      </c>
      <c r="I6" s="735" t="s">
        <v>751</v>
      </c>
      <c r="J6" s="705" t="s">
        <v>665</v>
      </c>
      <c r="K6" s="715" t="s">
        <v>659</v>
      </c>
      <c r="L6" s="716">
        <v>9950185902</v>
      </c>
      <c r="M6" s="716" t="s">
        <v>660</v>
      </c>
      <c r="N6" s="716" t="s">
        <v>658</v>
      </c>
    </row>
    <row r="7" spans="1:14" s="717" customFormat="1" ht="27.75" customHeight="1">
      <c r="A7" s="700">
        <f t="shared" ref="A7:A45" si="1">A6+1</f>
        <v>3</v>
      </c>
      <c r="B7" s="701" t="s">
        <v>415</v>
      </c>
      <c r="C7" s="702" t="str">
        <f>VLOOKUP(B7,'Location Summary'!$C$4:$D$603,2,FALSE)</f>
        <v>DA+3</v>
      </c>
      <c r="D7" s="703" t="s">
        <v>99</v>
      </c>
      <c r="E7" s="704">
        <v>45457</v>
      </c>
      <c r="F7" s="704">
        <v>45460</v>
      </c>
      <c r="G7" s="704">
        <v>45460</v>
      </c>
      <c r="H7" s="705">
        <f>(G7-E7)</f>
        <v>3</v>
      </c>
      <c r="I7" s="735" t="s">
        <v>751</v>
      </c>
      <c r="J7" s="705" t="s">
        <v>665</v>
      </c>
      <c r="K7" s="718" t="s">
        <v>677</v>
      </c>
      <c r="L7" s="719">
        <v>9929783632</v>
      </c>
      <c r="M7" s="720" t="s">
        <v>678</v>
      </c>
      <c r="N7" s="716" t="s">
        <v>658</v>
      </c>
    </row>
    <row r="8" spans="1:14" s="717" customFormat="1" ht="27.75" customHeight="1">
      <c r="A8" s="700">
        <f t="shared" si="1"/>
        <v>4</v>
      </c>
      <c r="B8" s="706" t="s">
        <v>419</v>
      </c>
      <c r="C8" s="702" t="str">
        <f>VLOOKUP(B8,'Location Summary'!$C$4:$D$603,2,FALSE)</f>
        <v>DA+9</v>
      </c>
      <c r="D8" s="703" t="s">
        <v>697</v>
      </c>
      <c r="E8" s="704">
        <v>45472</v>
      </c>
      <c r="F8" s="704">
        <v>45483</v>
      </c>
      <c r="G8" s="704">
        <v>45483</v>
      </c>
      <c r="H8" s="705">
        <f t="shared" si="0"/>
        <v>11</v>
      </c>
      <c r="I8" s="735" t="s">
        <v>696</v>
      </c>
      <c r="J8" s="705" t="s">
        <v>665</v>
      </c>
      <c r="K8" s="715" t="s">
        <v>698</v>
      </c>
      <c r="L8" s="716">
        <v>9950488419</v>
      </c>
      <c r="M8" s="716" t="s">
        <v>700</v>
      </c>
      <c r="N8" s="716" t="s">
        <v>658</v>
      </c>
    </row>
    <row r="9" spans="1:14" s="717" customFormat="1" ht="27.75" customHeight="1">
      <c r="A9" s="707">
        <f t="shared" si="1"/>
        <v>5</v>
      </c>
      <c r="B9" s="708" t="s">
        <v>420</v>
      </c>
      <c r="C9" s="702" t="str">
        <f>VLOOKUP(B9,'Location Summary'!$C$4:$D$603,2,FALSE)</f>
        <v>DA+0</v>
      </c>
      <c r="D9" s="709" t="s">
        <v>99</v>
      </c>
      <c r="E9" s="704">
        <v>45472</v>
      </c>
      <c r="F9" s="704">
        <v>45483</v>
      </c>
      <c r="G9" s="704">
        <v>45483</v>
      </c>
      <c r="H9" s="705">
        <f t="shared" si="0"/>
        <v>11</v>
      </c>
      <c r="I9" s="735" t="s">
        <v>696</v>
      </c>
      <c r="J9" s="710" t="s">
        <v>665</v>
      </c>
      <c r="K9" s="715" t="s">
        <v>699</v>
      </c>
      <c r="L9" s="716">
        <v>8003383931</v>
      </c>
      <c r="M9" s="716" t="s">
        <v>700</v>
      </c>
      <c r="N9" s="716" t="s">
        <v>658</v>
      </c>
    </row>
    <row r="10" spans="1:14" s="717" customFormat="1" ht="27.75" customHeight="1">
      <c r="A10" s="707">
        <f t="shared" si="1"/>
        <v>6</v>
      </c>
      <c r="B10" s="708" t="s">
        <v>450</v>
      </c>
      <c r="C10" s="702" t="str">
        <f>VLOOKUP(B10,'Location Summary'!$C$4:$D$603,2,FALSE)</f>
        <v>DA+0</v>
      </c>
      <c r="D10" s="709" t="s">
        <v>99</v>
      </c>
      <c r="E10" s="704">
        <v>45478</v>
      </c>
      <c r="F10" s="704">
        <v>45479</v>
      </c>
      <c r="G10" s="704">
        <v>45479</v>
      </c>
      <c r="H10" s="705">
        <f t="shared" si="0"/>
        <v>1</v>
      </c>
      <c r="I10" s="735" t="s">
        <v>1202</v>
      </c>
      <c r="J10" s="710" t="s">
        <v>665</v>
      </c>
      <c r="K10" s="715"/>
      <c r="L10" s="716"/>
      <c r="M10" s="716"/>
      <c r="N10" s="716"/>
    </row>
    <row r="11" spans="1:14" s="717" customFormat="1" ht="27.75" customHeight="1">
      <c r="A11" s="707">
        <f t="shared" si="1"/>
        <v>7</v>
      </c>
      <c r="B11" s="708" t="s">
        <v>399</v>
      </c>
      <c r="C11" s="702" t="str">
        <f>VLOOKUP(B11,'Location Summary'!$C$4:$D$603,2,FALSE)</f>
        <v>DA+9</v>
      </c>
      <c r="D11" s="709" t="s">
        <v>99</v>
      </c>
      <c r="E11" s="704">
        <v>45478</v>
      </c>
      <c r="F11" s="704">
        <v>45481</v>
      </c>
      <c r="G11" s="704">
        <v>45482</v>
      </c>
      <c r="H11" s="705">
        <f t="shared" si="0"/>
        <v>4</v>
      </c>
      <c r="I11" s="735" t="s">
        <v>1202</v>
      </c>
      <c r="J11" s="710" t="s">
        <v>665</v>
      </c>
      <c r="K11" s="715"/>
      <c r="L11" s="716"/>
      <c r="M11" s="716"/>
      <c r="N11" s="716"/>
    </row>
    <row r="12" spans="1:14" s="717" customFormat="1" ht="27.75" customHeight="1">
      <c r="A12" s="707">
        <f t="shared" si="1"/>
        <v>8</v>
      </c>
      <c r="B12" s="708" t="s">
        <v>424</v>
      </c>
      <c r="C12" s="702" t="str">
        <f>VLOOKUP(B12,'Location Summary'!$C$4:$D$603,2,FALSE)</f>
        <v>DA+0</v>
      </c>
      <c r="D12" s="709" t="s">
        <v>99</v>
      </c>
      <c r="E12" s="704">
        <v>45481</v>
      </c>
      <c r="F12" s="704">
        <v>45483</v>
      </c>
      <c r="G12" s="704">
        <v>45483</v>
      </c>
      <c r="H12" s="705">
        <f t="shared" si="0"/>
        <v>2</v>
      </c>
      <c r="I12" s="735" t="s">
        <v>1202</v>
      </c>
      <c r="J12" s="710" t="s">
        <v>665</v>
      </c>
      <c r="K12" s="721" t="s">
        <v>769</v>
      </c>
      <c r="L12" s="710" t="s">
        <v>770</v>
      </c>
      <c r="M12" s="716" t="s">
        <v>700</v>
      </c>
      <c r="N12" s="716" t="s">
        <v>658</v>
      </c>
    </row>
    <row r="13" spans="1:14" s="717" customFormat="1" ht="27.75" customHeight="1">
      <c r="A13" s="707">
        <f t="shared" si="1"/>
        <v>9</v>
      </c>
      <c r="B13" s="708" t="s">
        <v>452</v>
      </c>
      <c r="C13" s="702" t="str">
        <f>VLOOKUP(B13,'Location Summary'!$C$4:$D$603,2,FALSE)</f>
        <v>DA+4.5</v>
      </c>
      <c r="D13" s="709" t="s">
        <v>99</v>
      </c>
      <c r="E13" s="704">
        <v>45478</v>
      </c>
      <c r="F13" s="704">
        <v>45496</v>
      </c>
      <c r="G13" s="704">
        <v>45496</v>
      </c>
      <c r="H13" s="705">
        <f t="shared" si="0"/>
        <v>18</v>
      </c>
      <c r="I13" s="735" t="s">
        <v>1202</v>
      </c>
      <c r="J13" s="710" t="s">
        <v>665</v>
      </c>
      <c r="K13" s="715" t="s">
        <v>756</v>
      </c>
      <c r="L13" s="716">
        <v>9443165335</v>
      </c>
      <c r="M13" s="716"/>
      <c r="N13" s="716"/>
    </row>
    <row r="14" spans="1:14" s="717" customFormat="1" ht="27.75" customHeight="1">
      <c r="A14" s="707">
        <f t="shared" si="1"/>
        <v>10</v>
      </c>
      <c r="B14" s="708" t="s">
        <v>155</v>
      </c>
      <c r="C14" s="702" t="str">
        <f>VLOOKUP(B14,'Location Summary'!$C$4:$D$603,2,FALSE)</f>
        <v>DA+1.5</v>
      </c>
      <c r="D14" s="709" t="s">
        <v>99</v>
      </c>
      <c r="E14" s="704">
        <v>45492</v>
      </c>
      <c r="F14" s="704">
        <v>45510</v>
      </c>
      <c r="G14" s="704">
        <v>45510</v>
      </c>
      <c r="H14" s="705">
        <f t="shared" si="0"/>
        <v>18</v>
      </c>
      <c r="I14" s="735" t="s">
        <v>1202</v>
      </c>
      <c r="J14" s="710" t="s">
        <v>665</v>
      </c>
      <c r="K14" s="715"/>
      <c r="L14" s="716"/>
      <c r="M14" s="716"/>
      <c r="N14" s="716"/>
    </row>
    <row r="15" spans="1:14" s="717" customFormat="1" ht="27.75" customHeight="1">
      <c r="A15" s="710">
        <f t="shared" si="1"/>
        <v>11</v>
      </c>
      <c r="B15" s="711" t="s">
        <v>174</v>
      </c>
      <c r="C15" s="702" t="str">
        <f>VLOOKUP(B15,'Location Summary'!$C$4:$D$603,2,FALSE)</f>
        <v>DA-3</v>
      </c>
      <c r="D15" s="709" t="s">
        <v>99</v>
      </c>
      <c r="E15" s="704">
        <v>45463</v>
      </c>
      <c r="F15" s="704">
        <v>45692</v>
      </c>
      <c r="G15" s="704">
        <v>45692</v>
      </c>
      <c r="H15" s="705">
        <f t="shared" si="0"/>
        <v>229</v>
      </c>
      <c r="I15" s="735" t="s">
        <v>1202</v>
      </c>
      <c r="J15" s="710" t="s">
        <v>665</v>
      </c>
      <c r="K15" s="1659" t="s">
        <v>868</v>
      </c>
      <c r="L15" s="1662">
        <v>6350519091</v>
      </c>
      <c r="M15" s="1662" t="s">
        <v>869</v>
      </c>
      <c r="N15" s="1662" t="s">
        <v>658</v>
      </c>
    </row>
    <row r="16" spans="1:14" s="717" customFormat="1" ht="27.75" customHeight="1">
      <c r="A16" s="710">
        <f t="shared" si="1"/>
        <v>12</v>
      </c>
      <c r="B16" s="712" t="s">
        <v>175</v>
      </c>
      <c r="C16" s="702" t="str">
        <f>VLOOKUP(B16,'Location Summary'!$C$4:$D$603,2,FALSE)</f>
        <v>DA-3</v>
      </c>
      <c r="D16" s="709" t="s">
        <v>99</v>
      </c>
      <c r="E16" s="704">
        <v>45463</v>
      </c>
      <c r="F16" s="704">
        <v>45692</v>
      </c>
      <c r="G16" s="704">
        <v>45692</v>
      </c>
      <c r="H16" s="705">
        <f t="shared" si="0"/>
        <v>229</v>
      </c>
      <c r="I16" s="735" t="s">
        <v>1202</v>
      </c>
      <c r="J16" s="710" t="s">
        <v>665</v>
      </c>
      <c r="K16" s="1660"/>
      <c r="L16" s="1663"/>
      <c r="M16" s="1663"/>
      <c r="N16" s="1663"/>
    </row>
    <row r="17" spans="1:14" s="717" customFormat="1" ht="27.75" customHeight="1">
      <c r="A17" s="710">
        <f t="shared" si="1"/>
        <v>13</v>
      </c>
      <c r="B17" s="711" t="s">
        <v>176</v>
      </c>
      <c r="C17" s="702" t="str">
        <f>VLOOKUP(B17,'Location Summary'!$C$4:$D$603,2,FALSE)</f>
        <v>DA+1.5</v>
      </c>
      <c r="D17" s="709" t="s">
        <v>99</v>
      </c>
      <c r="E17" s="704">
        <v>45463</v>
      </c>
      <c r="F17" s="704">
        <v>45791</v>
      </c>
      <c r="G17" s="704">
        <v>45791</v>
      </c>
      <c r="H17" s="705">
        <f t="shared" si="0"/>
        <v>328</v>
      </c>
      <c r="I17" s="735" t="s">
        <v>1202</v>
      </c>
      <c r="J17" s="710" t="s">
        <v>665</v>
      </c>
      <c r="K17" s="1660"/>
      <c r="L17" s="1663"/>
      <c r="M17" s="1663"/>
      <c r="N17" s="1663"/>
    </row>
    <row r="18" spans="1:14" s="717" customFormat="1" ht="27.75" customHeight="1">
      <c r="A18" s="710">
        <f t="shared" si="1"/>
        <v>14</v>
      </c>
      <c r="B18" s="711" t="s">
        <v>177</v>
      </c>
      <c r="C18" s="702" t="str">
        <f>VLOOKUP(B18,'Location Summary'!$C$4:$D$603,2,FALSE)</f>
        <v>DA+3</v>
      </c>
      <c r="D18" s="709" t="s">
        <v>99</v>
      </c>
      <c r="E18" s="704">
        <v>45463</v>
      </c>
      <c r="F18" s="704">
        <v>45787</v>
      </c>
      <c r="G18" s="704">
        <v>45787</v>
      </c>
      <c r="H18" s="705">
        <f>(G18-E18)</f>
        <v>324</v>
      </c>
      <c r="I18" s="735" t="s">
        <v>1202</v>
      </c>
      <c r="J18" s="710" t="s">
        <v>665</v>
      </c>
      <c r="K18" s="1661"/>
      <c r="L18" s="1664"/>
      <c r="M18" s="1664"/>
      <c r="N18" s="1664"/>
    </row>
    <row r="19" spans="1:14" s="717" customFormat="1" ht="27.75" customHeight="1">
      <c r="A19" s="700">
        <f t="shared" si="1"/>
        <v>15</v>
      </c>
      <c r="B19" s="706" t="s">
        <v>427</v>
      </c>
      <c r="C19" s="702" t="str">
        <f>VLOOKUP(B19,'Location Summary'!$C$4:$D$603,2,FALSE)</f>
        <v>DA+0</v>
      </c>
      <c r="D19" s="709" t="s">
        <v>99</v>
      </c>
      <c r="E19" s="704">
        <v>45463</v>
      </c>
      <c r="F19" s="704">
        <v>45782</v>
      </c>
      <c r="G19" s="704">
        <v>45782</v>
      </c>
      <c r="H19" s="705">
        <f t="shared" si="0"/>
        <v>319</v>
      </c>
      <c r="I19" s="735" t="s">
        <v>1202</v>
      </c>
      <c r="J19" s="705" t="s">
        <v>665</v>
      </c>
      <c r="K19" s="715" t="s">
        <v>686</v>
      </c>
      <c r="L19" s="716">
        <v>9509364739</v>
      </c>
      <c r="M19" s="716" t="s">
        <v>687</v>
      </c>
      <c r="N19" s="716" t="s">
        <v>658</v>
      </c>
    </row>
    <row r="20" spans="1:14" s="717" customFormat="1" ht="27.75" customHeight="1">
      <c r="A20" s="700">
        <f t="shared" si="1"/>
        <v>16</v>
      </c>
      <c r="B20" s="706" t="s">
        <v>428</v>
      </c>
      <c r="C20" s="702" t="str">
        <f>VLOOKUP(B20,'Location Summary'!$C$4:$D$603,2,FALSE)</f>
        <v>DA-3</v>
      </c>
      <c r="D20" s="709" t="s">
        <v>99</v>
      </c>
      <c r="E20" s="704">
        <v>45463</v>
      </c>
      <c r="F20" s="704">
        <v>45767</v>
      </c>
      <c r="G20" s="704">
        <v>45767</v>
      </c>
      <c r="H20" s="705">
        <f t="shared" si="0"/>
        <v>304</v>
      </c>
      <c r="I20" s="735" t="s">
        <v>1202</v>
      </c>
      <c r="J20" s="705" t="s">
        <v>665</v>
      </c>
      <c r="K20" s="715"/>
      <c r="L20" s="716"/>
      <c r="M20" s="716"/>
      <c r="N20" s="716"/>
    </row>
    <row r="21" spans="1:14" s="717" customFormat="1" ht="27.75" customHeight="1">
      <c r="A21" s="700">
        <f t="shared" si="1"/>
        <v>17</v>
      </c>
      <c r="B21" s="706" t="s">
        <v>54</v>
      </c>
      <c r="C21" s="702" t="str">
        <f>VLOOKUP(B21,'Location Summary'!$C$4:$D$603,2,FALSE)</f>
        <v>DB1+0</v>
      </c>
      <c r="D21" s="709" t="s">
        <v>99</v>
      </c>
      <c r="E21" s="704">
        <v>45513</v>
      </c>
      <c r="F21" s="704">
        <v>45775</v>
      </c>
      <c r="G21" s="704">
        <v>45775</v>
      </c>
      <c r="H21" s="705">
        <f t="shared" si="0"/>
        <v>262</v>
      </c>
      <c r="I21" s="735" t="s">
        <v>1202</v>
      </c>
      <c r="J21" s="705" t="s">
        <v>665</v>
      </c>
      <c r="K21" s="715"/>
      <c r="L21" s="716"/>
      <c r="M21" s="716"/>
      <c r="N21" s="716"/>
    </row>
    <row r="22" spans="1:14" s="717" customFormat="1" ht="27.75" customHeight="1">
      <c r="A22" s="700">
        <f t="shared" si="1"/>
        <v>18</v>
      </c>
      <c r="B22" s="706" t="s">
        <v>179</v>
      </c>
      <c r="C22" s="702" t="str">
        <f>VLOOKUP(B22,'Location Summary'!$C$4:$D$603,2,FALSE)</f>
        <v>DA+0</v>
      </c>
      <c r="D22" s="709" t="s">
        <v>99</v>
      </c>
      <c r="E22" s="704">
        <v>45513</v>
      </c>
      <c r="F22" s="704">
        <v>45770</v>
      </c>
      <c r="G22" s="704">
        <v>45770</v>
      </c>
      <c r="H22" s="705">
        <f t="shared" si="0"/>
        <v>257</v>
      </c>
      <c r="I22" s="735" t="s">
        <v>1202</v>
      </c>
      <c r="J22" s="705" t="s">
        <v>665</v>
      </c>
      <c r="K22" s="715"/>
      <c r="L22" s="716"/>
      <c r="M22" s="716"/>
      <c r="N22" s="716"/>
    </row>
    <row r="23" spans="1:14" s="717" customFormat="1" ht="27.75" customHeight="1">
      <c r="A23" s="700">
        <f t="shared" si="1"/>
        <v>19</v>
      </c>
      <c r="B23" s="706" t="s">
        <v>180</v>
      </c>
      <c r="C23" s="702" t="str">
        <f>VLOOKUP(B23,'Location Summary'!$C$4:$D$603,2,FALSE)</f>
        <v>DA+6</v>
      </c>
      <c r="D23" s="709" t="s">
        <v>99</v>
      </c>
      <c r="E23" s="704">
        <v>45513</v>
      </c>
      <c r="F23" s="704">
        <v>45736</v>
      </c>
      <c r="G23" s="704">
        <v>45736</v>
      </c>
      <c r="H23" s="705">
        <f t="shared" si="0"/>
        <v>223</v>
      </c>
      <c r="I23" s="735" t="s">
        <v>1202</v>
      </c>
      <c r="J23" s="705" t="s">
        <v>665</v>
      </c>
      <c r="K23" s="715"/>
      <c r="L23" s="716"/>
      <c r="M23" s="716"/>
      <c r="N23" s="716"/>
    </row>
    <row r="24" spans="1:14" s="717" customFormat="1" ht="27.75" customHeight="1">
      <c r="A24" s="700">
        <f t="shared" si="1"/>
        <v>20</v>
      </c>
      <c r="B24" s="706" t="s">
        <v>181</v>
      </c>
      <c r="C24" s="702" t="str">
        <f>VLOOKUP(B24,'Location Summary'!$C$4:$D$603,2,FALSE)</f>
        <v>DA+6</v>
      </c>
      <c r="D24" s="709" t="s">
        <v>99</v>
      </c>
      <c r="E24" s="704">
        <v>45513</v>
      </c>
      <c r="F24" s="704">
        <v>45707</v>
      </c>
      <c r="G24" s="704">
        <v>45707</v>
      </c>
      <c r="H24" s="705">
        <f t="shared" si="0"/>
        <v>194</v>
      </c>
      <c r="I24" s="735" t="s">
        <v>1202</v>
      </c>
      <c r="J24" s="705" t="s">
        <v>665</v>
      </c>
      <c r="K24" s="715"/>
      <c r="L24" s="716"/>
      <c r="M24" s="716"/>
      <c r="N24" s="716"/>
    </row>
    <row r="25" spans="1:14" s="717" customFormat="1" ht="27.75" customHeight="1">
      <c r="A25" s="700">
        <f t="shared" si="1"/>
        <v>21</v>
      </c>
      <c r="B25" s="706" t="s">
        <v>182</v>
      </c>
      <c r="C25" s="702" t="str">
        <f>VLOOKUP(B25,'Location Summary'!$C$4:$D$603,2,FALSE)</f>
        <v>DA+0</v>
      </c>
      <c r="D25" s="709" t="s">
        <v>99</v>
      </c>
      <c r="E25" s="704">
        <v>45513</v>
      </c>
      <c r="F25" s="704">
        <v>45694</v>
      </c>
      <c r="G25" s="704">
        <v>45694</v>
      </c>
      <c r="H25" s="705">
        <f t="shared" si="0"/>
        <v>181</v>
      </c>
      <c r="I25" s="735" t="s">
        <v>1202</v>
      </c>
      <c r="J25" s="705" t="s">
        <v>665</v>
      </c>
      <c r="K25" s="715"/>
      <c r="L25" s="716"/>
      <c r="M25" s="716"/>
      <c r="N25" s="716"/>
    </row>
    <row r="26" spans="1:14" s="717" customFormat="1" ht="27.75" customHeight="1">
      <c r="A26" s="700">
        <f t="shared" si="1"/>
        <v>22</v>
      </c>
      <c r="B26" s="706" t="s">
        <v>429</v>
      </c>
      <c r="C26" s="702" t="str">
        <f>VLOOKUP(B26,'Location Summary'!$C$4:$D$603,2,FALSE)</f>
        <v>DA+0</v>
      </c>
      <c r="D26" s="709" t="s">
        <v>99</v>
      </c>
      <c r="E26" s="704">
        <v>45513</v>
      </c>
      <c r="F26" s="704">
        <v>45694</v>
      </c>
      <c r="G26" s="704">
        <v>45694</v>
      </c>
      <c r="H26" s="705">
        <f t="shared" si="0"/>
        <v>181</v>
      </c>
      <c r="I26" s="735" t="s">
        <v>1202</v>
      </c>
      <c r="J26" s="705" t="s">
        <v>665</v>
      </c>
      <c r="K26" s="715"/>
      <c r="L26" s="716"/>
      <c r="M26" s="716"/>
      <c r="N26" s="716"/>
    </row>
    <row r="27" spans="1:14" s="717" customFormat="1" ht="27.75" customHeight="1">
      <c r="A27" s="700">
        <f t="shared" si="1"/>
        <v>23</v>
      </c>
      <c r="B27" s="706" t="s">
        <v>55</v>
      </c>
      <c r="C27" s="702" t="str">
        <f>VLOOKUP(B27,'Location Summary'!$C$4:$D$603,2,FALSE)</f>
        <v>DC2+15</v>
      </c>
      <c r="D27" s="709" t="s">
        <v>99</v>
      </c>
      <c r="E27" s="704">
        <v>45513</v>
      </c>
      <c r="F27" s="704">
        <v>45655</v>
      </c>
      <c r="G27" s="704">
        <v>45655</v>
      </c>
      <c r="H27" s="705">
        <f t="shared" si="0"/>
        <v>142</v>
      </c>
      <c r="I27" s="735" t="s">
        <v>1202</v>
      </c>
      <c r="J27" s="705" t="s">
        <v>665</v>
      </c>
      <c r="K27" s="715"/>
      <c r="L27" s="716"/>
      <c r="M27" s="716"/>
      <c r="N27" s="716"/>
    </row>
    <row r="28" spans="1:14" s="717" customFormat="1" ht="27.75" customHeight="1">
      <c r="A28" s="700">
        <f t="shared" si="1"/>
        <v>24</v>
      </c>
      <c r="B28" s="706" t="s">
        <v>372</v>
      </c>
      <c r="C28" s="702" t="str">
        <f>VLOOKUP(B28,'Location Summary'!$C$4:$D$603,2,FALSE)</f>
        <v>DA+3</v>
      </c>
      <c r="D28" s="709" t="s">
        <v>99</v>
      </c>
      <c r="E28" s="704">
        <v>45480</v>
      </c>
      <c r="F28" s="704">
        <v>45699</v>
      </c>
      <c r="G28" s="704">
        <v>45699</v>
      </c>
      <c r="H28" s="705">
        <f t="shared" si="0"/>
        <v>219</v>
      </c>
      <c r="I28" s="735" t="s">
        <v>1202</v>
      </c>
      <c r="J28" s="705" t="s">
        <v>665</v>
      </c>
      <c r="K28" s="715" t="s">
        <v>870</v>
      </c>
      <c r="L28" s="716">
        <v>9413384744</v>
      </c>
      <c r="M28" s="716" t="s">
        <v>871</v>
      </c>
      <c r="N28" s="716" t="s">
        <v>658</v>
      </c>
    </row>
    <row r="29" spans="1:14" s="717" customFormat="1" ht="27.75" customHeight="1">
      <c r="A29" s="700">
        <f t="shared" si="1"/>
        <v>25</v>
      </c>
      <c r="B29" s="706" t="s">
        <v>408</v>
      </c>
      <c r="C29" s="702" t="str">
        <f>VLOOKUP(B29,'Location Summary'!$C$4:$D$603,2,FALSE)</f>
        <v>DA+9</v>
      </c>
      <c r="D29" s="703" t="s">
        <v>99</v>
      </c>
      <c r="E29" s="704">
        <v>45480</v>
      </c>
      <c r="F29" s="704">
        <v>45699</v>
      </c>
      <c r="G29" s="704">
        <v>45699</v>
      </c>
      <c r="H29" s="705">
        <f t="shared" si="0"/>
        <v>219</v>
      </c>
      <c r="I29" s="735" t="s">
        <v>1202</v>
      </c>
      <c r="J29" s="705" t="s">
        <v>665</v>
      </c>
      <c r="K29" s="715"/>
      <c r="L29" s="716"/>
      <c r="M29" s="716"/>
      <c r="N29" s="716"/>
    </row>
    <row r="30" spans="1:14" s="717" customFormat="1" ht="27.75" customHeight="1">
      <c r="A30" s="700">
        <f t="shared" si="1"/>
        <v>26</v>
      </c>
      <c r="B30" s="706" t="s">
        <v>409</v>
      </c>
      <c r="C30" s="702" t="str">
        <f>VLOOKUP(B30,'Location Summary'!$C$4:$D$603,2,FALSE)</f>
        <v>DA+0</v>
      </c>
      <c r="D30" s="703" t="s">
        <v>99</v>
      </c>
      <c r="E30" s="704">
        <v>45480</v>
      </c>
      <c r="F30" s="704">
        <v>45710</v>
      </c>
      <c r="G30" s="704">
        <v>45710</v>
      </c>
      <c r="H30" s="705">
        <f t="shared" si="0"/>
        <v>230</v>
      </c>
      <c r="I30" s="735" t="s">
        <v>1202</v>
      </c>
      <c r="J30" s="705" t="s">
        <v>665</v>
      </c>
      <c r="K30" s="715"/>
      <c r="L30" s="716"/>
      <c r="M30" s="716"/>
      <c r="N30" s="716"/>
    </row>
    <row r="31" spans="1:14" s="717" customFormat="1" ht="27.75" customHeight="1">
      <c r="A31" s="700">
        <f t="shared" si="1"/>
        <v>27</v>
      </c>
      <c r="B31" s="706" t="s">
        <v>410</v>
      </c>
      <c r="C31" s="702" t="str">
        <f>VLOOKUP(B31,'Location Summary'!$C$4:$D$603,2,FALSE)</f>
        <v>DA+0</v>
      </c>
      <c r="D31" s="703" t="s">
        <v>99</v>
      </c>
      <c r="E31" s="704">
        <v>45480</v>
      </c>
      <c r="F31" s="704">
        <v>45699</v>
      </c>
      <c r="G31" s="704">
        <v>45699</v>
      </c>
      <c r="H31" s="705">
        <f t="shared" si="0"/>
        <v>219</v>
      </c>
      <c r="I31" s="735" t="s">
        <v>1202</v>
      </c>
      <c r="J31" s="705" t="s">
        <v>665</v>
      </c>
      <c r="K31" s="715"/>
      <c r="L31" s="716"/>
      <c r="M31" s="716"/>
      <c r="N31" s="716"/>
    </row>
    <row r="32" spans="1:14" s="717" customFormat="1" ht="27.75" customHeight="1">
      <c r="A32" s="700">
        <f t="shared" si="1"/>
        <v>28</v>
      </c>
      <c r="B32" s="706" t="s">
        <v>62</v>
      </c>
      <c r="C32" s="702" t="str">
        <f>VLOOKUP(B32,'Location Summary'!$C$4:$D$603,2,FALSE)</f>
        <v>DA-1.5</v>
      </c>
      <c r="D32" s="703" t="s">
        <v>99</v>
      </c>
      <c r="E32" s="704">
        <v>45492</v>
      </c>
      <c r="F32" s="704">
        <v>45549</v>
      </c>
      <c r="G32" s="704">
        <v>45549</v>
      </c>
      <c r="H32" s="705">
        <f t="shared" si="0"/>
        <v>57</v>
      </c>
      <c r="I32" s="735" t="s">
        <v>1202</v>
      </c>
      <c r="J32" s="705" t="s">
        <v>665</v>
      </c>
      <c r="K32" s="715" t="s">
        <v>867</v>
      </c>
      <c r="L32" s="716">
        <v>9461942441</v>
      </c>
      <c r="M32" s="716" t="s">
        <v>863</v>
      </c>
      <c r="N32" s="716" t="s">
        <v>658</v>
      </c>
    </row>
    <row r="33" spans="1:15" s="717" customFormat="1" ht="27.75" customHeight="1">
      <c r="A33" s="700">
        <f t="shared" si="1"/>
        <v>29</v>
      </c>
      <c r="B33" s="706" t="s">
        <v>153</v>
      </c>
      <c r="C33" s="702" t="str">
        <f>VLOOKUP(B33,'Location Summary'!$C$4:$D$603,2,FALSE)</f>
        <v>DA+1.5</v>
      </c>
      <c r="D33" s="703" t="s">
        <v>99</v>
      </c>
      <c r="E33" s="704">
        <v>45492</v>
      </c>
      <c r="F33" s="704">
        <v>45564</v>
      </c>
      <c r="G33" s="704">
        <v>45564</v>
      </c>
      <c r="H33" s="705">
        <f t="shared" si="0"/>
        <v>72</v>
      </c>
      <c r="I33" s="735" t="s">
        <v>1202</v>
      </c>
      <c r="J33" s="705" t="s">
        <v>665</v>
      </c>
      <c r="K33" s="715" t="s">
        <v>866</v>
      </c>
      <c r="L33" s="716">
        <v>9876037318</v>
      </c>
      <c r="M33" s="716" t="s">
        <v>863</v>
      </c>
      <c r="N33" s="716" t="s">
        <v>658</v>
      </c>
    </row>
    <row r="34" spans="1:15" s="717" customFormat="1" ht="27.75" customHeight="1">
      <c r="A34" s="700">
        <f t="shared" si="1"/>
        <v>30</v>
      </c>
      <c r="B34" s="706" t="s">
        <v>156</v>
      </c>
      <c r="C34" s="702" t="str">
        <f>VLOOKUP(B34,'Location Summary'!$C$4:$D$603,2,FALSE)</f>
        <v>DA-1.5</v>
      </c>
      <c r="D34" s="703" t="s">
        <v>99</v>
      </c>
      <c r="E34" s="704">
        <v>45492</v>
      </c>
      <c r="F34" s="704">
        <v>45521</v>
      </c>
      <c r="G34" s="704">
        <v>45521</v>
      </c>
      <c r="H34" s="705">
        <f t="shared" si="0"/>
        <v>29</v>
      </c>
      <c r="I34" s="735" t="s">
        <v>1202</v>
      </c>
      <c r="J34" s="710" t="s">
        <v>665</v>
      </c>
      <c r="K34" s="715" t="s">
        <v>865</v>
      </c>
      <c r="L34" s="716">
        <v>9928935365</v>
      </c>
      <c r="M34" s="716" t="s">
        <v>863</v>
      </c>
      <c r="N34" s="716" t="s">
        <v>658</v>
      </c>
    </row>
    <row r="35" spans="1:15" s="717" customFormat="1" ht="27.75" customHeight="1">
      <c r="A35" s="700">
        <f t="shared" si="1"/>
        <v>31</v>
      </c>
      <c r="B35" s="706" t="s">
        <v>162</v>
      </c>
      <c r="C35" s="702" t="str">
        <f>VLOOKUP(B35,'Location Summary'!$C$4:$D$603,2,FALSE)</f>
        <v>DA-3</v>
      </c>
      <c r="D35" s="703" t="s">
        <v>99</v>
      </c>
      <c r="E35" s="704">
        <v>45492</v>
      </c>
      <c r="F35" s="704">
        <v>45571</v>
      </c>
      <c r="G35" s="704">
        <v>45571</v>
      </c>
      <c r="H35" s="705">
        <f t="shared" si="0"/>
        <v>79</v>
      </c>
      <c r="I35" s="735" t="s">
        <v>1202</v>
      </c>
      <c r="J35" s="710" t="s">
        <v>665</v>
      </c>
      <c r="K35" s="715" t="s">
        <v>864</v>
      </c>
      <c r="L35" s="716">
        <v>7297945033</v>
      </c>
      <c r="M35" s="716" t="s">
        <v>863</v>
      </c>
      <c r="N35" s="716" t="s">
        <v>658</v>
      </c>
    </row>
    <row r="36" spans="1:15" s="717" customFormat="1" ht="27.75" customHeight="1">
      <c r="A36" s="700">
        <f t="shared" si="1"/>
        <v>32</v>
      </c>
      <c r="B36" s="706" t="s">
        <v>394</v>
      </c>
      <c r="C36" s="702" t="str">
        <f>VLOOKUP(B36,'Location Summary'!$C$4:$D$603,2,FALSE)</f>
        <v>DA+9</v>
      </c>
      <c r="D36" s="703" t="s">
        <v>99</v>
      </c>
      <c r="E36" s="704">
        <v>45497</v>
      </c>
      <c r="F36" s="704">
        <v>45633</v>
      </c>
      <c r="G36" s="704">
        <v>45633</v>
      </c>
      <c r="H36" s="705">
        <f t="shared" si="0"/>
        <v>136</v>
      </c>
      <c r="I36" s="735" t="s">
        <v>1202</v>
      </c>
      <c r="J36" s="710" t="s">
        <v>665</v>
      </c>
      <c r="K36" s="715" t="s">
        <v>843</v>
      </c>
      <c r="L36" s="716">
        <v>9983260872</v>
      </c>
      <c r="M36" s="716" t="s">
        <v>861</v>
      </c>
      <c r="N36" s="716" t="s">
        <v>658</v>
      </c>
    </row>
    <row r="37" spans="1:15" s="717" customFormat="1" ht="27.75" customHeight="1">
      <c r="A37" s="700">
        <f t="shared" si="1"/>
        <v>33</v>
      </c>
      <c r="B37" s="706" t="s">
        <v>395</v>
      </c>
      <c r="C37" s="702" t="str">
        <f>VLOOKUP(B37,'Location Summary'!$C$4:$D$603,2,FALSE)</f>
        <v>DA+6</v>
      </c>
      <c r="D37" s="703" t="s">
        <v>99</v>
      </c>
      <c r="E37" s="704">
        <v>45497</v>
      </c>
      <c r="F37" s="704">
        <v>45636</v>
      </c>
      <c r="G37" s="704">
        <v>45636</v>
      </c>
      <c r="H37" s="705">
        <f t="shared" si="0"/>
        <v>139</v>
      </c>
      <c r="I37" s="735" t="s">
        <v>1202</v>
      </c>
      <c r="J37" s="710" t="s">
        <v>665</v>
      </c>
      <c r="K37" s="715" t="s">
        <v>844</v>
      </c>
      <c r="L37" s="716">
        <v>9799581738</v>
      </c>
      <c r="M37" s="716" t="s">
        <v>862</v>
      </c>
      <c r="N37" s="716" t="s">
        <v>658</v>
      </c>
    </row>
    <row r="38" spans="1:15" s="717" customFormat="1" ht="27.75" customHeight="1">
      <c r="A38" s="700">
        <f t="shared" si="1"/>
        <v>34</v>
      </c>
      <c r="B38" s="706" t="s">
        <v>498</v>
      </c>
      <c r="C38" s="702" t="str">
        <f>VLOOKUP(B38,'Location Summary'!$C$4:$D$603,2,FALSE)</f>
        <v>DA+3</v>
      </c>
      <c r="D38" s="703" t="s">
        <v>99</v>
      </c>
      <c r="E38" s="704">
        <v>45498</v>
      </c>
      <c r="F38" s="704">
        <v>45514</v>
      </c>
      <c r="G38" s="704">
        <v>45514</v>
      </c>
      <c r="H38" s="705">
        <f t="shared" si="0"/>
        <v>16</v>
      </c>
      <c r="I38" s="735" t="s">
        <v>1202</v>
      </c>
      <c r="J38" s="705" t="s">
        <v>665</v>
      </c>
      <c r="K38" s="715" t="s">
        <v>859</v>
      </c>
      <c r="L38" s="716">
        <v>9351238162</v>
      </c>
      <c r="M38" s="716" t="s">
        <v>860</v>
      </c>
      <c r="N38" s="716" t="s">
        <v>658</v>
      </c>
    </row>
    <row r="39" spans="1:15" s="717" customFormat="1" ht="27.75" customHeight="1">
      <c r="A39" s="700">
        <f t="shared" si="1"/>
        <v>35</v>
      </c>
      <c r="B39" s="706" t="s">
        <v>433</v>
      </c>
      <c r="C39" s="702" t="str">
        <f>VLOOKUP(B39,'Location Summary'!$C$4:$D$603,2,FALSE)</f>
        <v>DA+0</v>
      </c>
      <c r="D39" s="703" t="s">
        <v>99</v>
      </c>
      <c r="E39" s="704">
        <v>45499</v>
      </c>
      <c r="F39" s="704">
        <v>45581</v>
      </c>
      <c r="G39" s="704">
        <v>45581</v>
      </c>
      <c r="H39" s="705">
        <f t="shared" si="0"/>
        <v>82</v>
      </c>
      <c r="I39" s="735" t="s">
        <v>1202</v>
      </c>
      <c r="J39" s="705" t="s">
        <v>665</v>
      </c>
      <c r="K39" s="721" t="s">
        <v>976</v>
      </c>
      <c r="L39" s="716">
        <v>9414141385</v>
      </c>
      <c r="M39" s="716" t="s">
        <v>863</v>
      </c>
      <c r="N39" s="716" t="s">
        <v>658</v>
      </c>
    </row>
    <row r="40" spans="1:15" s="717" customFormat="1" ht="27.75" customHeight="1">
      <c r="A40" s="700">
        <f t="shared" si="1"/>
        <v>36</v>
      </c>
      <c r="B40" s="706" t="s">
        <v>436</v>
      </c>
      <c r="C40" s="702" t="str">
        <f>VLOOKUP(B40,'Location Summary'!$C$4:$D$603,2,FALSE)</f>
        <v>DA+0</v>
      </c>
      <c r="D40" s="703" t="s">
        <v>99</v>
      </c>
      <c r="E40" s="704">
        <v>45500</v>
      </c>
      <c r="F40" s="704">
        <v>45502</v>
      </c>
      <c r="G40" s="704">
        <v>45502</v>
      </c>
      <c r="H40" s="705">
        <f t="shared" si="0"/>
        <v>2</v>
      </c>
      <c r="I40" s="735" t="s">
        <v>1202</v>
      </c>
      <c r="J40" s="705" t="s">
        <v>665</v>
      </c>
      <c r="K40" s="715" t="s">
        <v>852</v>
      </c>
      <c r="L40" s="716">
        <v>9828203300</v>
      </c>
      <c r="M40" s="716"/>
      <c r="N40" s="716"/>
    </row>
    <row r="41" spans="1:15" s="722" customFormat="1" ht="27.75" customHeight="1">
      <c r="A41" s="700">
        <f t="shared" si="1"/>
        <v>37</v>
      </c>
      <c r="B41" s="706" t="s">
        <v>402</v>
      </c>
      <c r="C41" s="702" t="str">
        <f>VLOOKUP(B41,'Location Summary'!$C$4:$D$603,2,FALSE)</f>
        <v>DA+9</v>
      </c>
      <c r="D41" s="703" t="s">
        <v>99</v>
      </c>
      <c r="E41" s="704">
        <v>45501</v>
      </c>
      <c r="F41" s="704">
        <v>45683</v>
      </c>
      <c r="G41" s="704">
        <v>45683</v>
      </c>
      <c r="H41" s="705">
        <f t="shared" si="0"/>
        <v>182</v>
      </c>
      <c r="I41" s="735" t="s">
        <v>1170</v>
      </c>
      <c r="J41" s="705" t="s">
        <v>665</v>
      </c>
      <c r="K41" s="715" t="s">
        <v>857</v>
      </c>
      <c r="L41" s="716">
        <v>9680661751</v>
      </c>
      <c r="M41" s="716" t="s">
        <v>858</v>
      </c>
      <c r="N41" s="716" t="s">
        <v>658</v>
      </c>
    </row>
    <row r="42" spans="1:15" s="722" customFormat="1" ht="27.75" customHeight="1">
      <c r="A42" s="700">
        <f t="shared" si="1"/>
        <v>38</v>
      </c>
      <c r="B42" s="706" t="s">
        <v>417</v>
      </c>
      <c r="C42" s="702" t="str">
        <f>VLOOKUP(B42,'Location Summary'!$C$4:$D$603,2,FALSE)</f>
        <v>DA+6</v>
      </c>
      <c r="D42" s="703" t="s">
        <v>99</v>
      </c>
      <c r="E42" s="704">
        <v>45455</v>
      </c>
      <c r="F42" s="704">
        <v>45650</v>
      </c>
      <c r="G42" s="704">
        <v>45650</v>
      </c>
      <c r="H42" s="705">
        <f t="shared" si="0"/>
        <v>195</v>
      </c>
      <c r="I42" s="735" t="s">
        <v>1203</v>
      </c>
      <c r="J42" s="705" t="s">
        <v>665</v>
      </c>
      <c r="K42" s="715"/>
      <c r="L42" s="716"/>
      <c r="M42" s="716"/>
      <c r="N42" s="716"/>
    </row>
    <row r="43" spans="1:15" s="722" customFormat="1" ht="27.75" customHeight="1">
      <c r="A43" s="700">
        <f t="shared" si="1"/>
        <v>39</v>
      </c>
      <c r="B43" s="706" t="s">
        <v>308</v>
      </c>
      <c r="C43" s="702" t="str">
        <f>VLOOKUP(B43,'Location Summary'!$C$4:$D$603,2,FALSE)</f>
        <v>DA+6</v>
      </c>
      <c r="D43" s="703" t="s">
        <v>99</v>
      </c>
      <c r="E43" s="704">
        <v>45455</v>
      </c>
      <c r="F43" s="704">
        <v>45650</v>
      </c>
      <c r="G43" s="704">
        <v>45650</v>
      </c>
      <c r="H43" s="705">
        <f t="shared" si="0"/>
        <v>195</v>
      </c>
      <c r="I43" s="735" t="s">
        <v>1203</v>
      </c>
      <c r="J43" s="705" t="s">
        <v>665</v>
      </c>
      <c r="K43" s="715" t="s">
        <v>872</v>
      </c>
      <c r="L43" s="716">
        <v>9950997590</v>
      </c>
      <c r="M43" s="716" t="s">
        <v>871</v>
      </c>
      <c r="N43" s="716" t="s">
        <v>658</v>
      </c>
    </row>
    <row r="44" spans="1:15" s="722" customFormat="1" ht="27.75" customHeight="1">
      <c r="A44" s="700">
        <f t="shared" si="1"/>
        <v>40</v>
      </c>
      <c r="B44" s="706" t="s">
        <v>425</v>
      </c>
      <c r="C44" s="702" t="str">
        <f>VLOOKUP(B44,'Location Summary'!$C$4:$D$603,2,FALSE)</f>
        <v>DA+6</v>
      </c>
      <c r="D44" s="703" t="s">
        <v>99</v>
      </c>
      <c r="E44" s="704">
        <v>45490</v>
      </c>
      <c r="F44" s="704">
        <v>45650</v>
      </c>
      <c r="G44" s="704">
        <v>45650</v>
      </c>
      <c r="H44" s="705">
        <f t="shared" si="0"/>
        <v>160</v>
      </c>
      <c r="I44" s="735" t="s">
        <v>1203</v>
      </c>
      <c r="J44" s="705" t="s">
        <v>665</v>
      </c>
      <c r="K44" s="715" t="s">
        <v>873</v>
      </c>
      <c r="L44" s="716">
        <v>9660960166</v>
      </c>
      <c r="M44" s="716" t="s">
        <v>874</v>
      </c>
      <c r="N44" s="716" t="s">
        <v>658</v>
      </c>
    </row>
    <row r="45" spans="1:15" s="722" customFormat="1" ht="27.75" customHeight="1">
      <c r="A45" s="700">
        <f t="shared" si="1"/>
        <v>41</v>
      </c>
      <c r="B45" s="706" t="s">
        <v>901</v>
      </c>
      <c r="C45" s="702" t="str">
        <f>VLOOKUP(B45,'Location Summary'!$C$4:$D$603,2,FALSE)</f>
        <v>DA+6</v>
      </c>
      <c r="D45" s="703" t="s">
        <v>99</v>
      </c>
      <c r="E45" s="704">
        <v>45504</v>
      </c>
      <c r="F45" s="704">
        <v>45508</v>
      </c>
      <c r="G45" s="704">
        <v>45508</v>
      </c>
      <c r="H45" s="705">
        <f t="shared" si="0"/>
        <v>4</v>
      </c>
      <c r="I45" s="735" t="s">
        <v>1203</v>
      </c>
      <c r="J45" s="705" t="s">
        <v>665</v>
      </c>
      <c r="K45" s="721" t="s">
        <v>1206</v>
      </c>
      <c r="L45" s="716">
        <v>9001870250</v>
      </c>
      <c r="M45" s="716" t="s">
        <v>863</v>
      </c>
      <c r="N45" s="716" t="s">
        <v>658</v>
      </c>
      <c r="O45" s="723"/>
    </row>
    <row r="46" spans="1:15" s="722" customFormat="1" ht="27.75" customHeight="1">
      <c r="A46" s="700">
        <f t="shared" ref="A46:A106" si="2">A45+1</f>
        <v>42</v>
      </c>
      <c r="B46" s="706" t="s">
        <v>902</v>
      </c>
      <c r="C46" s="702" t="str">
        <f>VLOOKUP(B46,'Location Summary'!$C$4:$D$603,2,FALSE)</f>
        <v>DA+6</v>
      </c>
      <c r="D46" s="703" t="s">
        <v>99</v>
      </c>
      <c r="E46" s="704">
        <v>45504</v>
      </c>
      <c r="F46" s="704">
        <v>45508</v>
      </c>
      <c r="G46" s="704">
        <v>45508</v>
      </c>
      <c r="H46" s="705">
        <f t="shared" si="0"/>
        <v>4</v>
      </c>
      <c r="I46" s="735" t="s">
        <v>1203</v>
      </c>
      <c r="J46" s="705" t="s">
        <v>665</v>
      </c>
      <c r="K46" s="715" t="s">
        <v>880</v>
      </c>
      <c r="L46" s="716">
        <v>9001870250</v>
      </c>
      <c r="M46" s="716" t="s">
        <v>863</v>
      </c>
      <c r="N46" s="716" t="s">
        <v>658</v>
      </c>
    </row>
    <row r="47" spans="1:15" s="722" customFormat="1" ht="27.75" customHeight="1">
      <c r="A47" s="700">
        <f t="shared" si="2"/>
        <v>43</v>
      </c>
      <c r="B47" s="706" t="s">
        <v>904</v>
      </c>
      <c r="C47" s="702" t="str">
        <f>VLOOKUP(B47,'Location Summary'!$C$4:$D$603,2,FALSE)</f>
        <v>DA+3</v>
      </c>
      <c r="D47" s="703" t="s">
        <v>99</v>
      </c>
      <c r="E47" s="704">
        <v>45506</v>
      </c>
      <c r="F47" s="704">
        <v>45521</v>
      </c>
      <c r="G47" s="704">
        <v>45521</v>
      </c>
      <c r="H47" s="705">
        <f t="shared" si="0"/>
        <v>15</v>
      </c>
      <c r="I47" s="735" t="s">
        <v>1203</v>
      </c>
      <c r="J47" s="705" t="s">
        <v>665</v>
      </c>
      <c r="K47" s="715"/>
      <c r="L47" s="716"/>
      <c r="M47" s="716"/>
      <c r="N47" s="716"/>
    </row>
    <row r="48" spans="1:15" s="722" customFormat="1" ht="27.75" customHeight="1">
      <c r="A48" s="700">
        <f t="shared" si="2"/>
        <v>44</v>
      </c>
      <c r="B48" s="706" t="s">
        <v>905</v>
      </c>
      <c r="C48" s="702" t="str">
        <f>VLOOKUP(B48,'Location Summary'!$C$4:$D$603,2,FALSE)</f>
        <v>DA+6</v>
      </c>
      <c r="D48" s="703" t="s">
        <v>99</v>
      </c>
      <c r="E48" s="704">
        <v>45506</v>
      </c>
      <c r="F48" s="704">
        <v>45524</v>
      </c>
      <c r="G48" s="704">
        <v>45524</v>
      </c>
      <c r="H48" s="705">
        <f t="shared" si="0"/>
        <v>18</v>
      </c>
      <c r="I48" s="735" t="s">
        <v>1203</v>
      </c>
      <c r="J48" s="705" t="s">
        <v>665</v>
      </c>
      <c r="K48" s="715"/>
      <c r="L48" s="716"/>
      <c r="M48" s="716"/>
      <c r="N48" s="716"/>
    </row>
    <row r="49" spans="1:14" s="722" customFormat="1" ht="27.75" customHeight="1">
      <c r="A49" s="700">
        <f t="shared" si="2"/>
        <v>45</v>
      </c>
      <c r="B49" s="706" t="s">
        <v>460</v>
      </c>
      <c r="C49" s="702" t="str">
        <f>VLOOKUP(B49,'Location Summary'!$C$4:$D$603,2,FALSE)</f>
        <v>DA+9</v>
      </c>
      <c r="D49" s="703" t="s">
        <v>99</v>
      </c>
      <c r="E49" s="704">
        <v>45506</v>
      </c>
      <c r="F49" s="704">
        <v>45554</v>
      </c>
      <c r="G49" s="704">
        <v>45554</v>
      </c>
      <c r="H49" s="705">
        <f t="shared" si="0"/>
        <v>48</v>
      </c>
      <c r="I49" s="735" t="s">
        <v>1203</v>
      </c>
      <c r="J49" s="705" t="s">
        <v>665</v>
      </c>
      <c r="K49" s="715"/>
      <c r="L49" s="716"/>
      <c r="M49" s="716"/>
      <c r="N49" s="716"/>
    </row>
    <row r="50" spans="1:14" s="722" customFormat="1" ht="27.75" customHeight="1">
      <c r="A50" s="700">
        <f t="shared" si="2"/>
        <v>46</v>
      </c>
      <c r="B50" s="706" t="s">
        <v>462</v>
      </c>
      <c r="C50" s="702" t="str">
        <f>VLOOKUP(B50,'Location Summary'!$C$4:$D$603,2,FALSE)</f>
        <v>DA-1.5</v>
      </c>
      <c r="D50" s="703" t="s">
        <v>99</v>
      </c>
      <c r="E50" s="704">
        <v>45506</v>
      </c>
      <c r="F50" s="704">
        <v>45510</v>
      </c>
      <c r="G50" s="704">
        <v>45510</v>
      </c>
      <c r="H50" s="705">
        <f t="shared" si="0"/>
        <v>4</v>
      </c>
      <c r="I50" s="735" t="s">
        <v>1203</v>
      </c>
      <c r="J50" s="705" t="s">
        <v>665</v>
      </c>
      <c r="K50" s="715"/>
      <c r="L50" s="716"/>
      <c r="M50" s="716"/>
      <c r="N50" s="716"/>
    </row>
    <row r="51" spans="1:14" s="722" customFormat="1" ht="27.75" customHeight="1">
      <c r="A51" s="700">
        <f t="shared" si="2"/>
        <v>47</v>
      </c>
      <c r="B51" s="706" t="s">
        <v>479</v>
      </c>
      <c r="C51" s="702" t="str">
        <f>VLOOKUP(B51,'Location Summary'!$C$4:$D$603,2,FALSE)</f>
        <v>DA+6</v>
      </c>
      <c r="D51" s="703" t="s">
        <v>99</v>
      </c>
      <c r="E51" s="704">
        <v>45506</v>
      </c>
      <c r="F51" s="704">
        <v>45617</v>
      </c>
      <c r="G51" s="704">
        <v>45617</v>
      </c>
      <c r="H51" s="705">
        <f t="shared" si="0"/>
        <v>111</v>
      </c>
      <c r="I51" s="735" t="s">
        <v>1203</v>
      </c>
      <c r="J51" s="705" t="s">
        <v>665</v>
      </c>
      <c r="K51" s="715"/>
      <c r="L51" s="716"/>
      <c r="M51" s="716"/>
      <c r="N51" s="716"/>
    </row>
    <row r="52" spans="1:14" s="722" customFormat="1" ht="27.75" customHeight="1">
      <c r="A52" s="700">
        <f t="shared" si="2"/>
        <v>48</v>
      </c>
      <c r="B52" s="706" t="s">
        <v>480</v>
      </c>
      <c r="C52" s="702" t="str">
        <f>VLOOKUP(B52,'Location Summary'!$C$4:$D$603,2,FALSE)</f>
        <v>DA+9</v>
      </c>
      <c r="D52" s="703" t="s">
        <v>99</v>
      </c>
      <c r="E52" s="704">
        <v>45506</v>
      </c>
      <c r="F52" s="704">
        <v>45568</v>
      </c>
      <c r="G52" s="704">
        <v>45568</v>
      </c>
      <c r="H52" s="705">
        <f t="shared" si="0"/>
        <v>62</v>
      </c>
      <c r="I52" s="735" t="s">
        <v>1203</v>
      </c>
      <c r="J52" s="705" t="s">
        <v>665</v>
      </c>
      <c r="K52" s="715"/>
      <c r="L52" s="716"/>
      <c r="M52" s="716"/>
      <c r="N52" s="716"/>
    </row>
    <row r="53" spans="1:14" s="722" customFormat="1" ht="27.75" customHeight="1">
      <c r="A53" s="700">
        <f t="shared" si="2"/>
        <v>49</v>
      </c>
      <c r="B53" s="706" t="s">
        <v>446</v>
      </c>
      <c r="C53" s="702" t="str">
        <f>VLOOKUP(B53,'Location Summary'!$C$4:$D$603,2,FALSE)</f>
        <v>DA-1.5</v>
      </c>
      <c r="D53" s="703" t="s">
        <v>99</v>
      </c>
      <c r="E53" s="704">
        <v>45506</v>
      </c>
      <c r="F53" s="704">
        <f>E53</f>
        <v>45506</v>
      </c>
      <c r="G53" s="704">
        <f>F53+5</f>
        <v>45511</v>
      </c>
      <c r="H53" s="705">
        <f t="shared" si="0"/>
        <v>5</v>
      </c>
      <c r="I53" s="735" t="s">
        <v>1203</v>
      </c>
      <c r="J53" s="705" t="s">
        <v>665</v>
      </c>
      <c r="K53" s="715"/>
      <c r="L53" s="716"/>
      <c r="M53" s="716"/>
      <c r="N53" s="716"/>
    </row>
    <row r="54" spans="1:14" s="722" customFormat="1" ht="27.75" customHeight="1">
      <c r="A54" s="700">
        <f t="shared" si="2"/>
        <v>50</v>
      </c>
      <c r="B54" s="706" t="s">
        <v>497</v>
      </c>
      <c r="C54" s="702" t="str">
        <f>VLOOKUP(B54,'Location Summary'!$C$4:$D$603,2,FALSE)</f>
        <v>DA+3</v>
      </c>
      <c r="D54" s="703" t="s">
        <v>99</v>
      </c>
      <c r="E54" s="704">
        <v>45522</v>
      </c>
      <c r="F54" s="704">
        <v>45525</v>
      </c>
      <c r="G54" s="704">
        <v>45525</v>
      </c>
      <c r="H54" s="705">
        <f t="shared" si="0"/>
        <v>3</v>
      </c>
      <c r="I54" s="735" t="s">
        <v>1204</v>
      </c>
      <c r="J54" s="705" t="s">
        <v>665</v>
      </c>
      <c r="K54" s="715"/>
      <c r="L54" s="716"/>
      <c r="M54" s="716"/>
      <c r="N54" s="716"/>
    </row>
    <row r="55" spans="1:14" s="722" customFormat="1" ht="27.75" customHeight="1">
      <c r="A55" s="700">
        <f t="shared" si="2"/>
        <v>51</v>
      </c>
      <c r="B55" s="706" t="s">
        <v>66</v>
      </c>
      <c r="C55" s="702" t="s">
        <v>79</v>
      </c>
      <c r="D55" s="703" t="s">
        <v>99</v>
      </c>
      <c r="E55" s="704">
        <v>45524</v>
      </c>
      <c r="F55" s="704">
        <v>45560</v>
      </c>
      <c r="G55" s="704">
        <v>45560</v>
      </c>
      <c r="H55" s="705">
        <f t="shared" si="0"/>
        <v>36</v>
      </c>
      <c r="I55" s="735" t="s">
        <v>1205</v>
      </c>
      <c r="J55" s="705" t="s">
        <v>665</v>
      </c>
      <c r="K55" s="715" t="s">
        <v>977</v>
      </c>
      <c r="L55" s="716">
        <v>9417442909</v>
      </c>
      <c r="M55" s="716" t="s">
        <v>978</v>
      </c>
      <c r="N55" s="716"/>
    </row>
    <row r="56" spans="1:14" s="722" customFormat="1" ht="27.75" customHeight="1">
      <c r="A56" s="700">
        <f t="shared" si="2"/>
        <v>52</v>
      </c>
      <c r="B56" s="706" t="s">
        <v>496</v>
      </c>
      <c r="C56" s="702" t="str">
        <f>VLOOKUP(B56,'Location Summary'!$C$4:$D$603,2,FALSE)</f>
        <v>DA+3</v>
      </c>
      <c r="D56" s="703" t="s">
        <v>99</v>
      </c>
      <c r="E56" s="704">
        <v>45524</v>
      </c>
      <c r="F56" s="704">
        <v>45541</v>
      </c>
      <c r="G56" s="704">
        <v>45541</v>
      </c>
      <c r="H56" s="705">
        <f t="shared" si="0"/>
        <v>17</v>
      </c>
      <c r="I56" s="735" t="s">
        <v>979</v>
      </c>
      <c r="J56" s="705" t="s">
        <v>665</v>
      </c>
      <c r="K56" s="715"/>
      <c r="L56" s="716"/>
      <c r="M56" s="716"/>
      <c r="N56" s="716"/>
    </row>
    <row r="57" spans="1:14" s="722" customFormat="1" ht="27.75" customHeight="1">
      <c r="A57" s="700">
        <f t="shared" si="2"/>
        <v>53</v>
      </c>
      <c r="B57" s="706" t="s">
        <v>495</v>
      </c>
      <c r="C57" s="702" t="str">
        <f>VLOOKUP(B57,'Location Summary'!$C$4:$D$603,2,FALSE)</f>
        <v>DA+3</v>
      </c>
      <c r="D57" s="703" t="s">
        <v>99</v>
      </c>
      <c r="E57" s="704">
        <v>45524</v>
      </c>
      <c r="F57" s="704">
        <v>45535</v>
      </c>
      <c r="G57" s="704">
        <v>45535</v>
      </c>
      <c r="H57" s="705">
        <f t="shared" si="0"/>
        <v>11</v>
      </c>
      <c r="I57" s="735" t="s">
        <v>979</v>
      </c>
      <c r="J57" s="705" t="s">
        <v>665</v>
      </c>
      <c r="K57" s="715"/>
      <c r="L57" s="716"/>
      <c r="M57" s="716"/>
      <c r="N57" s="716"/>
    </row>
    <row r="58" spans="1:14" s="722" customFormat="1" ht="27.75" customHeight="1">
      <c r="A58" s="700">
        <f t="shared" si="2"/>
        <v>54</v>
      </c>
      <c r="B58" s="706" t="s">
        <v>494</v>
      </c>
      <c r="C58" s="702" t="str">
        <f>VLOOKUP(B58,'Location Summary'!$C$4:$D$603,2,FALSE)</f>
        <v>DA+1.5</v>
      </c>
      <c r="D58" s="703" t="s">
        <v>99</v>
      </c>
      <c r="E58" s="704">
        <v>45524</v>
      </c>
      <c r="F58" s="704">
        <v>45530</v>
      </c>
      <c r="G58" s="704">
        <v>45530</v>
      </c>
      <c r="H58" s="705">
        <f t="shared" si="0"/>
        <v>6</v>
      </c>
      <c r="I58" s="735" t="s">
        <v>979</v>
      </c>
      <c r="J58" s="705" t="s">
        <v>665</v>
      </c>
      <c r="K58" s="715"/>
      <c r="L58" s="716"/>
      <c r="M58" s="716"/>
      <c r="N58" s="716"/>
    </row>
    <row r="59" spans="1:14" s="722" customFormat="1" ht="27.75" customHeight="1">
      <c r="A59" s="700">
        <f t="shared" si="2"/>
        <v>55</v>
      </c>
      <c r="B59" s="706" t="s">
        <v>69</v>
      </c>
      <c r="C59" s="702" t="str">
        <f>VLOOKUP(B59,'Location Summary'!$C$4:$D$603,2,FALSE)</f>
        <v>DA+9</v>
      </c>
      <c r="D59" s="703" t="s">
        <v>99</v>
      </c>
      <c r="E59" s="704">
        <v>45530</v>
      </c>
      <c r="F59" s="704">
        <v>45604</v>
      </c>
      <c r="G59" s="704">
        <v>45604</v>
      </c>
      <c r="H59" s="705">
        <f t="shared" si="0"/>
        <v>74</v>
      </c>
      <c r="I59" s="735" t="s">
        <v>979</v>
      </c>
      <c r="J59" s="705" t="s">
        <v>665</v>
      </c>
      <c r="K59" s="715" t="s">
        <v>857</v>
      </c>
      <c r="L59" s="716">
        <v>9694236631</v>
      </c>
      <c r="M59" s="716" t="s">
        <v>999</v>
      </c>
      <c r="N59" s="716" t="s">
        <v>1004</v>
      </c>
    </row>
    <row r="60" spans="1:14" s="722" customFormat="1" ht="27.75" customHeight="1">
      <c r="A60" s="700">
        <f t="shared" si="2"/>
        <v>56</v>
      </c>
      <c r="B60" s="706" t="s">
        <v>574</v>
      </c>
      <c r="C60" s="702" t="str">
        <f>VLOOKUP(B60,'Location Summary'!$C$4:$D$603,2,FALSE)</f>
        <v>DA+3</v>
      </c>
      <c r="D60" s="703" t="s">
        <v>99</v>
      </c>
      <c r="E60" s="704">
        <v>45530</v>
      </c>
      <c r="F60" s="704">
        <v>45587</v>
      </c>
      <c r="G60" s="704">
        <v>45587</v>
      </c>
      <c r="H60" s="705">
        <f t="shared" si="0"/>
        <v>57</v>
      </c>
      <c r="I60" s="735" t="s">
        <v>992</v>
      </c>
      <c r="J60" s="705" t="s">
        <v>665</v>
      </c>
      <c r="K60" s="715" t="s">
        <v>1002</v>
      </c>
      <c r="L60" s="716">
        <v>8107475410</v>
      </c>
      <c r="M60" s="716" t="s">
        <v>999</v>
      </c>
      <c r="N60" s="716" t="s">
        <v>1004</v>
      </c>
    </row>
    <row r="61" spans="1:14" s="722" customFormat="1" ht="27.75" customHeight="1">
      <c r="A61" s="700">
        <f t="shared" si="2"/>
        <v>57</v>
      </c>
      <c r="B61" s="706" t="s">
        <v>575</v>
      </c>
      <c r="C61" s="702" t="str">
        <f>VLOOKUP(B61,'Location Summary'!$C$4:$D$603,2,FALSE)</f>
        <v>DA+1.5</v>
      </c>
      <c r="D61" s="703" t="s">
        <v>99</v>
      </c>
      <c r="E61" s="704">
        <v>45530</v>
      </c>
      <c r="F61" s="704">
        <v>45587</v>
      </c>
      <c r="G61" s="704">
        <v>45587</v>
      </c>
      <c r="H61" s="705">
        <f t="shared" si="0"/>
        <v>57</v>
      </c>
      <c r="I61" s="735" t="s">
        <v>992</v>
      </c>
      <c r="J61" s="705" t="s">
        <v>665</v>
      </c>
      <c r="K61" s="715" t="s">
        <v>1003</v>
      </c>
      <c r="L61" s="716">
        <v>9549065761</v>
      </c>
      <c r="M61" s="716" t="s">
        <v>999</v>
      </c>
      <c r="N61" s="716" t="s">
        <v>1004</v>
      </c>
    </row>
    <row r="62" spans="1:14" s="722" customFormat="1" ht="27.75" customHeight="1">
      <c r="A62" s="700">
        <f t="shared" si="2"/>
        <v>58</v>
      </c>
      <c r="B62" s="706" t="s">
        <v>571</v>
      </c>
      <c r="C62" s="702" t="str">
        <f>VLOOKUP(B62,'Location Summary'!$C$4:$D$603,2,FALSE)</f>
        <v>DA+0</v>
      </c>
      <c r="D62" s="703" t="s">
        <v>99</v>
      </c>
      <c r="E62" s="704">
        <v>45535</v>
      </c>
      <c r="F62" s="704">
        <v>45544</v>
      </c>
      <c r="G62" s="704">
        <v>45582</v>
      </c>
      <c r="H62" s="705">
        <f t="shared" si="0"/>
        <v>47</v>
      </c>
      <c r="I62" s="735" t="s">
        <v>992</v>
      </c>
      <c r="J62" s="705" t="s">
        <v>665</v>
      </c>
      <c r="K62" s="715" t="s">
        <v>1000</v>
      </c>
      <c r="L62" s="716">
        <v>9024013985</v>
      </c>
      <c r="M62" s="716" t="s">
        <v>1001</v>
      </c>
      <c r="N62" s="716" t="s">
        <v>1004</v>
      </c>
    </row>
    <row r="63" spans="1:14" s="722" customFormat="1" ht="27.75" customHeight="1">
      <c r="A63" s="700">
        <f t="shared" si="2"/>
        <v>59</v>
      </c>
      <c r="B63" s="706" t="s">
        <v>432</v>
      </c>
      <c r="C63" s="702" t="str">
        <f>VLOOKUP(B63,'Location Summary'!$C$4:$D$603,2,FALSE)</f>
        <v>DA+6</v>
      </c>
      <c r="D63" s="703" t="s">
        <v>99</v>
      </c>
      <c r="E63" s="704">
        <v>45532</v>
      </c>
      <c r="F63" s="704">
        <v>45537</v>
      </c>
      <c r="G63" s="704">
        <v>45537</v>
      </c>
      <c r="H63" s="705">
        <f t="shared" si="0"/>
        <v>5</v>
      </c>
      <c r="I63" s="735" t="s">
        <v>992</v>
      </c>
      <c r="J63" s="705" t="s">
        <v>665</v>
      </c>
      <c r="K63" s="715" t="s">
        <v>998</v>
      </c>
      <c r="L63" s="716">
        <v>8290697615</v>
      </c>
      <c r="M63" s="716" t="s">
        <v>997</v>
      </c>
      <c r="N63" s="716" t="s">
        <v>658</v>
      </c>
    </row>
    <row r="64" spans="1:14" s="722" customFormat="1" ht="27.75" customHeight="1">
      <c r="A64" s="700">
        <f t="shared" si="2"/>
        <v>60</v>
      </c>
      <c r="B64" s="706" t="s">
        <v>61</v>
      </c>
      <c r="C64" s="702" t="str">
        <f>VLOOKUP(B64,'Location Summary'!$C$4:$D$603,2,FALSE)</f>
        <v>DA+9</v>
      </c>
      <c r="D64" s="703" t="s">
        <v>99</v>
      </c>
      <c r="E64" s="704">
        <v>45535</v>
      </c>
      <c r="F64" s="704">
        <v>45555</v>
      </c>
      <c r="G64" s="704">
        <v>45555</v>
      </c>
      <c r="H64" s="705">
        <f t="shared" si="0"/>
        <v>20</v>
      </c>
      <c r="I64" s="735" t="s">
        <v>992</v>
      </c>
      <c r="J64" s="705" t="s">
        <v>665</v>
      </c>
      <c r="K64" s="715" t="s">
        <v>996</v>
      </c>
      <c r="L64" s="716">
        <v>8904727514</v>
      </c>
      <c r="M64" s="716" t="s">
        <v>997</v>
      </c>
      <c r="N64" s="716" t="s">
        <v>658</v>
      </c>
    </row>
    <row r="65" spans="1:14" s="722" customFormat="1" ht="27.75" customHeight="1">
      <c r="A65" s="700">
        <f t="shared" si="2"/>
        <v>61</v>
      </c>
      <c r="B65" s="706" t="s">
        <v>1072</v>
      </c>
      <c r="C65" s="702" t="str">
        <f>VLOOKUP(B65,'Location Summary'!$C$4:$D$603,2,FALSE)</f>
        <v>DA+3</v>
      </c>
      <c r="D65" s="703" t="s">
        <v>99</v>
      </c>
      <c r="E65" s="704">
        <v>45545</v>
      </c>
      <c r="F65" s="704">
        <v>45546</v>
      </c>
      <c r="G65" s="704">
        <v>45546</v>
      </c>
      <c r="H65" s="705">
        <f t="shared" si="0"/>
        <v>1</v>
      </c>
      <c r="I65" s="735" t="s">
        <v>992</v>
      </c>
      <c r="J65" s="705" t="s">
        <v>665</v>
      </c>
      <c r="K65" s="715" t="s">
        <v>1008</v>
      </c>
      <c r="L65" s="716">
        <v>9137269295</v>
      </c>
      <c r="M65" s="716" t="s">
        <v>1009</v>
      </c>
      <c r="N65" s="716" t="s">
        <v>658</v>
      </c>
    </row>
    <row r="66" spans="1:14" s="722" customFormat="1" ht="27.75" customHeight="1">
      <c r="A66" s="700">
        <f t="shared" si="2"/>
        <v>62</v>
      </c>
      <c r="B66" s="706" t="s">
        <v>532</v>
      </c>
      <c r="C66" s="702" t="s">
        <v>2</v>
      </c>
      <c r="D66" s="703" t="s">
        <v>29</v>
      </c>
      <c r="E66" s="704">
        <v>45566</v>
      </c>
      <c r="F66" s="704">
        <v>45689</v>
      </c>
      <c r="G66" s="704">
        <v>45693</v>
      </c>
      <c r="H66" s="705">
        <f t="shared" ref="H66:H71" si="3">(G66-E66)</f>
        <v>127</v>
      </c>
      <c r="I66" s="735" t="s">
        <v>1067</v>
      </c>
      <c r="J66" s="705" t="s">
        <v>665</v>
      </c>
      <c r="K66" s="715" t="s">
        <v>1446</v>
      </c>
      <c r="L66" s="716"/>
      <c r="M66" s="716"/>
      <c r="N66" s="716"/>
    </row>
    <row r="67" spans="1:14" s="722" customFormat="1" ht="27.75" customHeight="1">
      <c r="A67" s="700">
        <f t="shared" si="2"/>
        <v>63</v>
      </c>
      <c r="B67" s="706" t="s">
        <v>256</v>
      </c>
      <c r="C67" s="702" t="str">
        <f>VLOOKUP(B67,'Location Summary'!$C$4:$D$603,2,FALSE)</f>
        <v>DB2+9</v>
      </c>
      <c r="D67" s="703" t="s">
        <v>99</v>
      </c>
      <c r="E67" s="704">
        <v>45561</v>
      </c>
      <c r="F67" s="704">
        <v>45766</v>
      </c>
      <c r="G67" s="704">
        <v>45766</v>
      </c>
      <c r="H67" s="705">
        <f t="shared" si="3"/>
        <v>205</v>
      </c>
      <c r="I67" s="735" t="s">
        <v>1067</v>
      </c>
      <c r="J67" s="705" t="s">
        <v>665</v>
      </c>
      <c r="K67" s="715" t="s">
        <v>1446</v>
      </c>
      <c r="L67" s="716"/>
      <c r="M67" s="716"/>
      <c r="N67" s="716"/>
    </row>
    <row r="68" spans="1:14" s="722" customFormat="1" ht="27.75" customHeight="1">
      <c r="A68" s="700">
        <f t="shared" si="2"/>
        <v>64</v>
      </c>
      <c r="B68" s="706" t="s">
        <v>454</v>
      </c>
      <c r="C68" s="702" t="s">
        <v>79</v>
      </c>
      <c r="D68" s="703" t="s">
        <v>99</v>
      </c>
      <c r="E68" s="704">
        <v>45561</v>
      </c>
      <c r="F68" s="704">
        <v>45689</v>
      </c>
      <c r="G68" s="704">
        <v>45693</v>
      </c>
      <c r="H68" s="705">
        <f t="shared" si="3"/>
        <v>132</v>
      </c>
      <c r="I68" s="735" t="s">
        <v>1213</v>
      </c>
      <c r="J68" s="705" t="s">
        <v>665</v>
      </c>
      <c r="K68" s="715" t="s">
        <v>1446</v>
      </c>
      <c r="L68" s="716"/>
      <c r="M68" s="716"/>
      <c r="N68" s="716"/>
    </row>
    <row r="69" spans="1:14" s="722" customFormat="1" ht="27.75" customHeight="1">
      <c r="A69" s="700">
        <f t="shared" si="2"/>
        <v>65</v>
      </c>
      <c r="B69" s="706" t="s">
        <v>455</v>
      </c>
      <c r="C69" s="702" t="s">
        <v>2</v>
      </c>
      <c r="D69" s="703" t="s">
        <v>99</v>
      </c>
      <c r="E69" s="704">
        <v>45561</v>
      </c>
      <c r="F69" s="704">
        <v>45689</v>
      </c>
      <c r="G69" s="704">
        <v>45693</v>
      </c>
      <c r="H69" s="705">
        <f t="shared" si="3"/>
        <v>132</v>
      </c>
      <c r="I69" s="735" t="s">
        <v>1213</v>
      </c>
      <c r="J69" s="705" t="s">
        <v>665</v>
      </c>
      <c r="K69" s="715" t="s">
        <v>1446</v>
      </c>
      <c r="L69" s="716"/>
      <c r="M69" s="716"/>
      <c r="N69" s="716"/>
    </row>
    <row r="70" spans="1:14" s="722" customFormat="1" ht="27.75" customHeight="1">
      <c r="A70" s="700">
        <f t="shared" si="2"/>
        <v>66</v>
      </c>
      <c r="B70" s="706" t="s">
        <v>456</v>
      </c>
      <c r="C70" s="702" t="s">
        <v>2</v>
      </c>
      <c r="D70" s="703" t="s">
        <v>99</v>
      </c>
      <c r="E70" s="704">
        <v>45561</v>
      </c>
      <c r="F70" s="704">
        <v>45689</v>
      </c>
      <c r="G70" s="704">
        <v>45693</v>
      </c>
      <c r="H70" s="705">
        <f t="shared" si="3"/>
        <v>132</v>
      </c>
      <c r="I70" s="735" t="s">
        <v>1213</v>
      </c>
      <c r="J70" s="705" t="s">
        <v>665</v>
      </c>
      <c r="K70" s="715" t="s">
        <v>1446</v>
      </c>
      <c r="L70" s="716"/>
      <c r="M70" s="716"/>
      <c r="N70" s="716"/>
    </row>
    <row r="71" spans="1:14" s="722" customFormat="1" ht="27.75" customHeight="1">
      <c r="A71" s="700">
        <f t="shared" si="2"/>
        <v>67</v>
      </c>
      <c r="B71" s="706" t="s">
        <v>457</v>
      </c>
      <c r="C71" s="702" t="s">
        <v>79</v>
      </c>
      <c r="D71" s="703" t="s">
        <v>99</v>
      </c>
      <c r="E71" s="704">
        <v>45561</v>
      </c>
      <c r="F71" s="704">
        <v>45689</v>
      </c>
      <c r="G71" s="704">
        <v>45693</v>
      </c>
      <c r="H71" s="705">
        <f t="shared" si="3"/>
        <v>132</v>
      </c>
      <c r="I71" s="735" t="s">
        <v>1213</v>
      </c>
      <c r="J71" s="705" t="s">
        <v>665</v>
      </c>
      <c r="K71" s="715" t="s">
        <v>1446</v>
      </c>
      <c r="L71" s="716"/>
      <c r="M71" s="716"/>
      <c r="N71" s="716"/>
    </row>
    <row r="72" spans="1:14" s="722" customFormat="1" ht="27.75" customHeight="1">
      <c r="A72" s="700">
        <f t="shared" si="2"/>
        <v>68</v>
      </c>
      <c r="B72" s="706" t="s">
        <v>257</v>
      </c>
      <c r="C72" s="702" t="str">
        <f>VLOOKUP(B72,'Location Summary'!$C$4:$D$603,2,FALSE)</f>
        <v>DB1+6</v>
      </c>
      <c r="D72" s="703" t="s">
        <v>99</v>
      </c>
      <c r="E72" s="704">
        <v>45550</v>
      </c>
      <c r="F72" s="704">
        <v>45721</v>
      </c>
      <c r="G72" s="704">
        <v>45721</v>
      </c>
      <c r="H72" s="705">
        <f t="shared" ref="H72:H86" si="4">(G72-E72)</f>
        <v>171</v>
      </c>
      <c r="I72" s="735" t="s">
        <v>1067</v>
      </c>
      <c r="J72" s="705" t="s">
        <v>665</v>
      </c>
      <c r="K72" s="715"/>
      <c r="L72" s="716"/>
      <c r="M72" s="716"/>
      <c r="N72" s="716"/>
    </row>
    <row r="73" spans="1:14" s="722" customFormat="1" ht="27.75" customHeight="1">
      <c r="A73" s="700">
        <f t="shared" si="2"/>
        <v>69</v>
      </c>
      <c r="B73" s="706" t="s">
        <v>459</v>
      </c>
      <c r="C73" s="702" t="str">
        <f>VLOOKUP(B73,'Location Summary'!$C$4:$D$603,2,FALSE)</f>
        <v>DA+6</v>
      </c>
      <c r="D73" s="703" t="s">
        <v>99</v>
      </c>
      <c r="E73" s="704">
        <v>45550</v>
      </c>
      <c r="F73" s="704">
        <v>45727</v>
      </c>
      <c r="G73" s="704">
        <v>45727</v>
      </c>
      <c r="H73" s="705">
        <f t="shared" si="4"/>
        <v>177</v>
      </c>
      <c r="I73" s="735" t="s">
        <v>1067</v>
      </c>
      <c r="J73" s="705" t="s">
        <v>665</v>
      </c>
      <c r="K73" s="715"/>
      <c r="L73" s="716"/>
      <c r="M73" s="716"/>
      <c r="N73" s="716"/>
    </row>
    <row r="74" spans="1:14" s="722" customFormat="1" ht="27.75" customHeight="1">
      <c r="A74" s="700">
        <f t="shared" si="2"/>
        <v>70</v>
      </c>
      <c r="B74" s="706" t="s">
        <v>463</v>
      </c>
      <c r="C74" s="702" t="str">
        <f>VLOOKUP(B74,'Location Summary'!$C$4:$D$603,2,FALSE)</f>
        <v>DA+6</v>
      </c>
      <c r="D74" s="703" t="s">
        <v>99</v>
      </c>
      <c r="E74" s="704">
        <v>45550</v>
      </c>
      <c r="F74" s="704">
        <v>45583</v>
      </c>
      <c r="G74" s="704">
        <v>45583</v>
      </c>
      <c r="H74" s="705">
        <f t="shared" si="4"/>
        <v>33</v>
      </c>
      <c r="I74" s="735" t="s">
        <v>1067</v>
      </c>
      <c r="J74" s="705" t="s">
        <v>665</v>
      </c>
      <c r="K74" s="715"/>
      <c r="L74" s="716"/>
      <c r="M74" s="716"/>
      <c r="N74" s="716"/>
    </row>
    <row r="75" spans="1:14" s="722" customFormat="1" ht="27.75" customHeight="1">
      <c r="A75" s="700">
        <f t="shared" si="2"/>
        <v>71</v>
      </c>
      <c r="B75" s="706" t="s">
        <v>258</v>
      </c>
      <c r="C75" s="702" t="str">
        <f>VLOOKUP(B75,'Location Summary'!$C$4:$D$603,2,FALSE)</f>
        <v>DB1+9</v>
      </c>
      <c r="D75" s="703" t="s">
        <v>99</v>
      </c>
      <c r="E75" s="704">
        <v>45555</v>
      </c>
      <c r="F75" s="704" t="s">
        <v>1079</v>
      </c>
      <c r="G75" s="704" t="s">
        <v>1079</v>
      </c>
      <c r="H75" s="705">
        <f t="shared" si="4"/>
        <v>17</v>
      </c>
      <c r="I75" s="735" t="s">
        <v>1067</v>
      </c>
      <c r="J75" s="705" t="s">
        <v>665</v>
      </c>
      <c r="K75" s="715"/>
      <c r="L75" s="716"/>
      <c r="M75" s="716"/>
      <c r="N75" s="716"/>
    </row>
    <row r="76" spans="1:14" s="722" customFormat="1" ht="27.75" customHeight="1">
      <c r="A76" s="700">
        <f t="shared" si="2"/>
        <v>72</v>
      </c>
      <c r="B76" s="706" t="s">
        <v>471</v>
      </c>
      <c r="C76" s="702" t="str">
        <f>VLOOKUP(B76,'Location Summary'!$C$4:$D$603,2,FALSE)</f>
        <v>DA+9</v>
      </c>
      <c r="D76" s="703" t="s">
        <v>99</v>
      </c>
      <c r="E76" s="704">
        <v>45555</v>
      </c>
      <c r="F76" s="704">
        <v>45581</v>
      </c>
      <c r="G76" s="704">
        <v>45581</v>
      </c>
      <c r="H76" s="705">
        <f t="shared" si="4"/>
        <v>26</v>
      </c>
      <c r="I76" s="735" t="s">
        <v>992</v>
      </c>
      <c r="J76" s="705" t="s">
        <v>665</v>
      </c>
      <c r="K76" s="715"/>
      <c r="L76" s="716"/>
      <c r="M76" s="716"/>
      <c r="N76" s="716"/>
    </row>
    <row r="77" spans="1:14" s="722" customFormat="1" ht="27.75" customHeight="1">
      <c r="A77" s="700">
        <f t="shared" si="2"/>
        <v>73</v>
      </c>
      <c r="B77" s="706" t="s">
        <v>473</v>
      </c>
      <c r="C77" s="702" t="str">
        <f>VLOOKUP(B77,'Location Summary'!$C$4:$D$603,2,FALSE)</f>
        <v>DA+1.5</v>
      </c>
      <c r="D77" s="703" t="s">
        <v>99</v>
      </c>
      <c r="E77" s="704">
        <v>45558</v>
      </c>
      <c r="F77" s="704">
        <v>45576</v>
      </c>
      <c r="G77" s="704">
        <v>45576</v>
      </c>
      <c r="H77" s="705">
        <f t="shared" si="4"/>
        <v>18</v>
      </c>
      <c r="I77" s="735" t="s">
        <v>992</v>
      </c>
      <c r="J77" s="705" t="s">
        <v>665</v>
      </c>
      <c r="K77" s="715"/>
      <c r="L77" s="716"/>
      <c r="M77" s="716"/>
      <c r="N77" s="716"/>
    </row>
    <row r="78" spans="1:14" s="722" customFormat="1" ht="27.75" customHeight="1">
      <c r="A78" s="700">
        <f t="shared" si="2"/>
        <v>74</v>
      </c>
      <c r="B78" s="706" t="s">
        <v>474</v>
      </c>
      <c r="C78" s="702" t="str">
        <f>VLOOKUP(B78,'Location Summary'!$C$4:$D$603,2,FALSE)</f>
        <v>DA+3</v>
      </c>
      <c r="D78" s="703" t="s">
        <v>99</v>
      </c>
      <c r="E78" s="704">
        <v>45558</v>
      </c>
      <c r="F78" s="704">
        <v>45591</v>
      </c>
      <c r="G78" s="704">
        <v>45591</v>
      </c>
      <c r="H78" s="705">
        <f t="shared" si="4"/>
        <v>33</v>
      </c>
      <c r="I78" s="735" t="s">
        <v>992</v>
      </c>
      <c r="J78" s="705" t="s">
        <v>665</v>
      </c>
      <c r="K78" s="715"/>
      <c r="L78" s="716"/>
      <c r="M78" s="716"/>
      <c r="N78" s="716"/>
    </row>
    <row r="79" spans="1:14" s="722" customFormat="1" ht="27.75" customHeight="1">
      <c r="A79" s="700">
        <f t="shared" si="2"/>
        <v>75</v>
      </c>
      <c r="B79" s="706" t="s">
        <v>591</v>
      </c>
      <c r="C79" s="702" t="str">
        <f>VLOOKUP(B79,'Location Summary'!$C$4:$D$603,2,FALSE)</f>
        <v>DA+6</v>
      </c>
      <c r="D79" s="703" t="s">
        <v>99</v>
      </c>
      <c r="E79" s="704">
        <v>45562</v>
      </c>
      <c r="F79" s="704">
        <v>45589</v>
      </c>
      <c r="G79" s="704">
        <v>45589</v>
      </c>
      <c r="H79" s="705">
        <f t="shared" si="4"/>
        <v>27</v>
      </c>
      <c r="I79" s="735" t="s">
        <v>992</v>
      </c>
      <c r="J79" s="705" t="s">
        <v>665</v>
      </c>
      <c r="K79" s="715" t="s">
        <v>1075</v>
      </c>
      <c r="L79" s="716">
        <v>8696414081</v>
      </c>
      <c r="M79" s="716" t="s">
        <v>999</v>
      </c>
      <c r="N79" s="716" t="s">
        <v>658</v>
      </c>
    </row>
    <row r="80" spans="1:14" s="722" customFormat="1" ht="27.75" customHeight="1">
      <c r="A80" s="700">
        <f t="shared" si="2"/>
        <v>76</v>
      </c>
      <c r="B80" s="706" t="s">
        <v>606</v>
      </c>
      <c r="C80" s="702" t="str">
        <f>VLOOKUP(B80,'Location Summary'!$C$4:$D$603,2,FALSE)</f>
        <v>DA+9</v>
      </c>
      <c r="D80" s="703" t="s">
        <v>99</v>
      </c>
      <c r="E80" s="704">
        <v>45568</v>
      </c>
      <c r="F80" s="704">
        <v>45607</v>
      </c>
      <c r="G80" s="704">
        <v>45607</v>
      </c>
      <c r="H80" s="705">
        <f t="shared" si="4"/>
        <v>39</v>
      </c>
      <c r="I80" s="735" t="s">
        <v>992</v>
      </c>
      <c r="J80" s="705" t="s">
        <v>665</v>
      </c>
      <c r="K80" s="715" t="s">
        <v>1076</v>
      </c>
      <c r="L80" s="716">
        <v>9649766361</v>
      </c>
      <c r="M80" s="716" t="s">
        <v>1077</v>
      </c>
      <c r="N80" s="716" t="s">
        <v>658</v>
      </c>
    </row>
    <row r="81" spans="1:14" s="722" customFormat="1" ht="27.75" customHeight="1">
      <c r="A81" s="700">
        <f t="shared" si="2"/>
        <v>77</v>
      </c>
      <c r="B81" s="706" t="s">
        <v>607</v>
      </c>
      <c r="C81" s="702" t="str">
        <f>VLOOKUP(B81,'Location Summary'!$C$4:$D$603,2,FALSE)</f>
        <v>DA+3</v>
      </c>
      <c r="D81" s="703" t="s">
        <v>99</v>
      </c>
      <c r="E81" s="704">
        <v>45568</v>
      </c>
      <c r="F81" s="704">
        <v>45612</v>
      </c>
      <c r="G81" s="704">
        <v>45612</v>
      </c>
      <c r="H81" s="705">
        <f t="shared" si="4"/>
        <v>44</v>
      </c>
      <c r="I81" s="735" t="s">
        <v>992</v>
      </c>
      <c r="J81" s="705" t="s">
        <v>665</v>
      </c>
      <c r="K81" s="715" t="s">
        <v>1078</v>
      </c>
      <c r="L81" s="716">
        <v>7568731460</v>
      </c>
      <c r="M81" s="716" t="s">
        <v>1077</v>
      </c>
      <c r="N81" s="716" t="s">
        <v>658</v>
      </c>
    </row>
    <row r="82" spans="1:14" s="722" customFormat="1" ht="27.75" customHeight="1">
      <c r="A82" s="700">
        <f t="shared" si="2"/>
        <v>78</v>
      </c>
      <c r="B82" s="706" t="s">
        <v>166</v>
      </c>
      <c r="C82" s="702" t="str">
        <f>VLOOKUP(B82,'Location Summary'!$C$4:$D$603,2,FALSE)</f>
        <v>DB1+6</v>
      </c>
      <c r="D82" s="703" t="s">
        <v>99</v>
      </c>
      <c r="E82" s="704">
        <v>45581</v>
      </c>
      <c r="F82" s="704">
        <v>45606</v>
      </c>
      <c r="G82" s="704">
        <v>45606</v>
      </c>
      <c r="H82" s="705">
        <f t="shared" si="4"/>
        <v>25</v>
      </c>
      <c r="I82" s="735" t="s">
        <v>992</v>
      </c>
      <c r="J82" s="705" t="s">
        <v>665</v>
      </c>
      <c r="K82" s="715"/>
      <c r="L82" s="716"/>
      <c r="M82" s="716"/>
      <c r="N82" s="716"/>
    </row>
    <row r="83" spans="1:14" s="722" customFormat="1" ht="27.75" customHeight="1">
      <c r="A83" s="700">
        <f t="shared" si="2"/>
        <v>79</v>
      </c>
      <c r="B83" s="706" t="s">
        <v>270</v>
      </c>
      <c r="C83" s="702" t="s">
        <v>184</v>
      </c>
      <c r="D83" s="703" t="s">
        <v>99</v>
      </c>
      <c r="E83" s="704">
        <v>45581</v>
      </c>
      <c r="F83" s="704">
        <v>45689</v>
      </c>
      <c r="G83" s="704">
        <v>45693</v>
      </c>
      <c r="H83" s="705">
        <f t="shared" si="4"/>
        <v>112</v>
      </c>
      <c r="I83" s="735" t="s">
        <v>1105</v>
      </c>
      <c r="J83" s="705" t="s">
        <v>665</v>
      </c>
      <c r="K83" s="715" t="s">
        <v>1446</v>
      </c>
      <c r="L83" s="716"/>
      <c r="M83" s="716"/>
      <c r="N83" s="716"/>
    </row>
    <row r="84" spans="1:14" s="722" customFormat="1" ht="27.75" customHeight="1">
      <c r="A84" s="700">
        <f t="shared" si="2"/>
        <v>80</v>
      </c>
      <c r="B84" s="706" t="s">
        <v>528</v>
      </c>
      <c r="C84" s="702" t="s">
        <v>2</v>
      </c>
      <c r="D84" s="703" t="s">
        <v>99</v>
      </c>
      <c r="E84" s="704">
        <v>45581</v>
      </c>
      <c r="F84" s="704">
        <v>45689</v>
      </c>
      <c r="G84" s="704">
        <v>45693</v>
      </c>
      <c r="H84" s="705">
        <f t="shared" si="4"/>
        <v>112</v>
      </c>
      <c r="I84" s="735" t="s">
        <v>1105</v>
      </c>
      <c r="J84" s="705" t="s">
        <v>665</v>
      </c>
      <c r="K84" s="715" t="s">
        <v>1446</v>
      </c>
      <c r="L84" s="716"/>
      <c r="M84" s="716"/>
      <c r="N84" s="716"/>
    </row>
    <row r="85" spans="1:14" s="722" customFormat="1" ht="27.75" customHeight="1">
      <c r="A85" s="700">
        <f t="shared" si="2"/>
        <v>81</v>
      </c>
      <c r="B85" s="706" t="s">
        <v>529</v>
      </c>
      <c r="C85" s="702" t="s">
        <v>79</v>
      </c>
      <c r="D85" s="703" t="s">
        <v>99</v>
      </c>
      <c r="E85" s="704">
        <v>45581</v>
      </c>
      <c r="F85" s="704">
        <v>45689</v>
      </c>
      <c r="G85" s="704">
        <v>45693</v>
      </c>
      <c r="H85" s="705">
        <f t="shared" si="4"/>
        <v>112</v>
      </c>
      <c r="I85" s="735" t="s">
        <v>1105</v>
      </c>
      <c r="J85" s="705" t="s">
        <v>665</v>
      </c>
      <c r="K85" s="715" t="s">
        <v>1446</v>
      </c>
      <c r="L85" s="716"/>
      <c r="M85" s="716"/>
      <c r="N85" s="716"/>
    </row>
    <row r="86" spans="1:14" s="722" customFormat="1" ht="27.75" customHeight="1">
      <c r="A86" s="700">
        <f t="shared" si="2"/>
        <v>82</v>
      </c>
      <c r="B86" s="706" t="s">
        <v>530</v>
      </c>
      <c r="C86" s="702" t="s">
        <v>2</v>
      </c>
      <c r="D86" s="703" t="s">
        <v>99</v>
      </c>
      <c r="E86" s="704">
        <v>45581</v>
      </c>
      <c r="F86" s="704">
        <v>45689</v>
      </c>
      <c r="G86" s="704">
        <v>45693</v>
      </c>
      <c r="H86" s="705">
        <f t="shared" si="4"/>
        <v>112</v>
      </c>
      <c r="I86" s="735" t="s">
        <v>1105</v>
      </c>
      <c r="J86" s="705" t="s">
        <v>665</v>
      </c>
      <c r="K86" s="715" t="s">
        <v>1446</v>
      </c>
      <c r="L86" s="716"/>
      <c r="M86" s="716"/>
      <c r="N86" s="716"/>
    </row>
    <row r="87" spans="1:14" s="722" customFormat="1" ht="27.75" customHeight="1">
      <c r="A87" s="700">
        <f t="shared" si="2"/>
        <v>83</v>
      </c>
      <c r="B87" s="706" t="s">
        <v>171</v>
      </c>
      <c r="C87" s="702" t="str">
        <f>VLOOKUP(B87,'Location Summary'!$C$4:$D$603,2,FALSE)</f>
        <v>DA+3</v>
      </c>
      <c r="D87" s="703" t="s">
        <v>99</v>
      </c>
      <c r="E87" s="704">
        <v>45637</v>
      </c>
      <c r="F87" s="704">
        <v>45659</v>
      </c>
      <c r="G87" s="704">
        <v>45659</v>
      </c>
      <c r="H87" s="705">
        <f t="shared" ref="H87:H104" si="5">(G87-E87)</f>
        <v>22</v>
      </c>
      <c r="I87" s="735" t="s">
        <v>992</v>
      </c>
      <c r="J87" s="705" t="s">
        <v>665</v>
      </c>
      <c r="K87" s="715"/>
      <c r="L87" s="716"/>
      <c r="M87" s="716"/>
      <c r="N87" s="716"/>
    </row>
    <row r="88" spans="1:14" s="722" customFormat="1" ht="27.75" customHeight="1">
      <c r="A88" s="700">
        <f t="shared" si="2"/>
        <v>84</v>
      </c>
      <c r="B88" s="706" t="s">
        <v>78</v>
      </c>
      <c r="C88" s="702" t="str">
        <f>VLOOKUP(B88,'Location Summary'!$C$4:$D$603,2,FALSE)</f>
        <v>DB1+0</v>
      </c>
      <c r="D88" s="703" t="s">
        <v>99</v>
      </c>
      <c r="E88" s="704">
        <v>45637</v>
      </c>
      <c r="F88" s="704">
        <v>45651</v>
      </c>
      <c r="G88" s="704">
        <v>45651</v>
      </c>
      <c r="H88" s="705">
        <f t="shared" si="5"/>
        <v>14</v>
      </c>
      <c r="I88" s="735" t="s">
        <v>1067</v>
      </c>
      <c r="J88" s="705" t="s">
        <v>665</v>
      </c>
      <c r="K88" s="715"/>
      <c r="L88" s="716"/>
      <c r="M88" s="716"/>
      <c r="N88" s="716"/>
    </row>
    <row r="89" spans="1:14" s="722" customFormat="1" ht="27.75" customHeight="1">
      <c r="A89" s="700">
        <f t="shared" si="2"/>
        <v>85</v>
      </c>
      <c r="B89" s="706" t="s">
        <v>644</v>
      </c>
      <c r="C89" s="702" t="str">
        <f>VLOOKUP(B89,'Location Summary'!$C$4:$D$603,2,FALSE)</f>
        <v>DA-1.5</v>
      </c>
      <c r="D89" s="703" t="s">
        <v>99</v>
      </c>
      <c r="E89" s="704">
        <v>45637</v>
      </c>
      <c r="F89" s="704">
        <v>45651</v>
      </c>
      <c r="G89" s="704">
        <v>45651</v>
      </c>
      <c r="H89" s="705">
        <f t="shared" si="5"/>
        <v>14</v>
      </c>
      <c r="I89" s="735" t="s">
        <v>992</v>
      </c>
      <c r="J89" s="705" t="s">
        <v>665</v>
      </c>
      <c r="K89" s="715"/>
      <c r="L89" s="716"/>
      <c r="M89" s="716"/>
      <c r="N89" s="716"/>
    </row>
    <row r="90" spans="1:14" s="722" customFormat="1" ht="27.75" customHeight="1">
      <c r="A90" s="700">
        <f t="shared" si="2"/>
        <v>86</v>
      </c>
      <c r="B90" s="706" t="s">
        <v>645</v>
      </c>
      <c r="C90" s="702" t="str">
        <f>VLOOKUP(B90,'Location Summary'!$C$4:$D$603,2,FALSE)</f>
        <v>DA+6</v>
      </c>
      <c r="D90" s="703" t="s">
        <v>99</v>
      </c>
      <c r="E90" s="704">
        <v>45637</v>
      </c>
      <c r="F90" s="704">
        <v>45651</v>
      </c>
      <c r="G90" s="704">
        <v>45651</v>
      </c>
      <c r="H90" s="705">
        <f t="shared" si="5"/>
        <v>14</v>
      </c>
      <c r="I90" s="735" t="s">
        <v>992</v>
      </c>
      <c r="J90" s="705" t="s">
        <v>665</v>
      </c>
      <c r="K90" s="715"/>
      <c r="L90" s="716"/>
      <c r="M90" s="716"/>
      <c r="N90" s="716"/>
    </row>
    <row r="91" spans="1:14" s="722" customFormat="1" ht="27.75" customHeight="1">
      <c r="A91" s="700">
        <f t="shared" si="2"/>
        <v>87</v>
      </c>
      <c r="B91" s="706" t="s">
        <v>646</v>
      </c>
      <c r="C91" s="702" t="str">
        <f>VLOOKUP(B91,'Location Summary'!$C$4:$D$603,2,FALSE)</f>
        <v>DA-1.5</v>
      </c>
      <c r="D91" s="703" t="s">
        <v>99</v>
      </c>
      <c r="E91" s="704">
        <v>45637</v>
      </c>
      <c r="F91" s="704">
        <v>45651</v>
      </c>
      <c r="G91" s="704">
        <v>45651</v>
      </c>
      <c r="H91" s="705">
        <f t="shared" si="5"/>
        <v>14</v>
      </c>
      <c r="I91" s="735" t="s">
        <v>992</v>
      </c>
      <c r="J91" s="705" t="s">
        <v>665</v>
      </c>
      <c r="K91" s="715"/>
      <c r="L91" s="716"/>
      <c r="M91" s="716"/>
      <c r="N91" s="716"/>
    </row>
    <row r="92" spans="1:14" s="722" customFormat="1" ht="27.75" customHeight="1">
      <c r="A92" s="700">
        <f t="shared" si="2"/>
        <v>88</v>
      </c>
      <c r="B92" s="706" t="s">
        <v>647</v>
      </c>
      <c r="C92" s="702" t="str">
        <f>VLOOKUP(B92,'Location Summary'!$C$4:$D$603,2,FALSE)</f>
        <v>DA+0</v>
      </c>
      <c r="D92" s="703" t="s">
        <v>99</v>
      </c>
      <c r="E92" s="704">
        <v>45637</v>
      </c>
      <c r="F92" s="704">
        <v>45651</v>
      </c>
      <c r="G92" s="704">
        <v>45651</v>
      </c>
      <c r="H92" s="705">
        <f t="shared" si="5"/>
        <v>14</v>
      </c>
      <c r="I92" s="735" t="s">
        <v>992</v>
      </c>
      <c r="J92" s="705" t="s">
        <v>665</v>
      </c>
      <c r="K92" s="715"/>
      <c r="L92" s="716"/>
      <c r="M92" s="716"/>
      <c r="N92" s="716"/>
    </row>
    <row r="93" spans="1:14" s="722" customFormat="1" ht="27.75" customHeight="1">
      <c r="A93" s="700">
        <f t="shared" si="2"/>
        <v>89</v>
      </c>
      <c r="B93" s="706" t="s">
        <v>648</v>
      </c>
      <c r="C93" s="702" t="e">
        <f>VLOOKUP(B93,'Location Summary'!$C$4:$D$603,2,FALSE)</f>
        <v>#N/A</v>
      </c>
      <c r="D93" s="703" t="s">
        <v>99</v>
      </c>
      <c r="E93" s="704">
        <v>45637</v>
      </c>
      <c r="F93" s="704">
        <v>45651</v>
      </c>
      <c r="G93" s="704">
        <v>45651</v>
      </c>
      <c r="H93" s="705">
        <f t="shared" si="5"/>
        <v>14</v>
      </c>
      <c r="I93" s="735" t="s">
        <v>992</v>
      </c>
      <c r="J93" s="705" t="s">
        <v>665</v>
      </c>
      <c r="K93" s="715"/>
      <c r="L93" s="716"/>
      <c r="M93" s="716"/>
      <c r="N93" s="716"/>
    </row>
    <row r="94" spans="1:14" s="722" customFormat="1" ht="27.75" customHeight="1">
      <c r="A94" s="700">
        <f t="shared" si="2"/>
        <v>90</v>
      </c>
      <c r="B94" s="706" t="s">
        <v>649</v>
      </c>
      <c r="C94" s="702" t="str">
        <f>VLOOKUP(B94,'Location Summary'!$C$4:$D$603,2,FALSE)</f>
        <v>DA+3</v>
      </c>
      <c r="D94" s="703" t="s">
        <v>99</v>
      </c>
      <c r="E94" s="704">
        <v>45637</v>
      </c>
      <c r="F94" s="704">
        <v>45651</v>
      </c>
      <c r="G94" s="704">
        <v>45651</v>
      </c>
      <c r="H94" s="705">
        <f t="shared" si="5"/>
        <v>14</v>
      </c>
      <c r="I94" s="735" t="s">
        <v>992</v>
      </c>
      <c r="J94" s="705" t="s">
        <v>665</v>
      </c>
      <c r="K94" s="715"/>
      <c r="L94" s="716"/>
      <c r="M94" s="716"/>
      <c r="N94" s="716"/>
    </row>
    <row r="95" spans="1:14" s="722" customFormat="1" ht="27.75" customHeight="1">
      <c r="A95" s="700">
        <f t="shared" si="2"/>
        <v>91</v>
      </c>
      <c r="B95" s="706" t="s">
        <v>650</v>
      </c>
      <c r="C95" s="702" t="str">
        <f>VLOOKUP(B95,'Location Summary'!$C$4:$D$603,2,FALSE)</f>
        <v>DA+0</v>
      </c>
      <c r="D95" s="703" t="s">
        <v>99</v>
      </c>
      <c r="E95" s="704">
        <v>45637</v>
      </c>
      <c r="F95" s="704">
        <v>45651</v>
      </c>
      <c r="G95" s="704">
        <v>45651</v>
      </c>
      <c r="H95" s="705">
        <f t="shared" si="5"/>
        <v>14</v>
      </c>
      <c r="I95" s="735" t="s">
        <v>992</v>
      </c>
      <c r="J95" s="705" t="s">
        <v>665</v>
      </c>
      <c r="K95" s="715"/>
      <c r="L95" s="716"/>
      <c r="M95" s="716"/>
      <c r="N95" s="716"/>
    </row>
    <row r="96" spans="1:14" s="722" customFormat="1" ht="27.75" customHeight="1">
      <c r="A96" s="700">
        <f t="shared" si="2"/>
        <v>92</v>
      </c>
      <c r="B96" s="706" t="s">
        <v>651</v>
      </c>
      <c r="C96" s="702" t="str">
        <f>VLOOKUP(B96,'Location Summary'!$C$4:$D$603,2,FALSE)</f>
        <v>DA+9</v>
      </c>
      <c r="D96" s="703" t="s">
        <v>99</v>
      </c>
      <c r="E96" s="704">
        <v>45637</v>
      </c>
      <c r="F96" s="704">
        <v>45651</v>
      </c>
      <c r="G96" s="704">
        <v>45651</v>
      </c>
      <c r="H96" s="705">
        <f t="shared" si="5"/>
        <v>14</v>
      </c>
      <c r="I96" s="735" t="s">
        <v>992</v>
      </c>
      <c r="J96" s="705" t="s">
        <v>665</v>
      </c>
      <c r="K96" s="715"/>
      <c r="L96" s="716"/>
      <c r="M96" s="716"/>
      <c r="N96" s="716"/>
    </row>
    <row r="97" spans="1:14" s="722" customFormat="1" ht="27.75" customHeight="1">
      <c r="A97" s="700">
        <f t="shared" si="2"/>
        <v>93</v>
      </c>
      <c r="B97" s="706" t="s">
        <v>7</v>
      </c>
      <c r="C97" s="702" t="str">
        <f>VLOOKUP(B97,'Location Summary'!$C$4:$D$603,2,FALSE)</f>
        <v>DB1+6</v>
      </c>
      <c r="D97" s="703" t="s">
        <v>99</v>
      </c>
      <c r="E97" s="704">
        <v>45637</v>
      </c>
      <c r="F97" s="704">
        <v>45651</v>
      </c>
      <c r="G97" s="704">
        <v>45651</v>
      </c>
      <c r="H97" s="705">
        <f t="shared" si="5"/>
        <v>14</v>
      </c>
      <c r="I97" s="735" t="s">
        <v>992</v>
      </c>
      <c r="J97" s="705" t="s">
        <v>665</v>
      </c>
      <c r="K97" s="715"/>
      <c r="L97" s="716"/>
      <c r="M97" s="716"/>
      <c r="N97" s="716"/>
    </row>
    <row r="98" spans="1:14" s="722" customFormat="1" ht="27.75" customHeight="1">
      <c r="A98" s="700">
        <f t="shared" si="2"/>
        <v>94</v>
      </c>
      <c r="B98" s="706" t="s">
        <v>592</v>
      </c>
      <c r="C98" s="702" t="str">
        <f>VLOOKUP(B98,'Location Summary'!$C$4:$D$603,2,FALSE)</f>
        <v>DA-3</v>
      </c>
      <c r="D98" s="703" t="s">
        <v>99</v>
      </c>
      <c r="E98" s="704">
        <v>45698</v>
      </c>
      <c r="F98" s="704">
        <v>45736</v>
      </c>
      <c r="G98" s="704">
        <v>45736</v>
      </c>
      <c r="H98" s="705">
        <f t="shared" si="5"/>
        <v>38</v>
      </c>
      <c r="I98" s="735" t="s">
        <v>1214</v>
      </c>
      <c r="J98" s="705" t="s">
        <v>665</v>
      </c>
      <c r="K98" s="715"/>
      <c r="L98" s="716"/>
      <c r="M98" s="716"/>
      <c r="N98" s="716"/>
    </row>
    <row r="99" spans="1:14" s="722" customFormat="1" ht="27.75" customHeight="1">
      <c r="A99" s="700">
        <f t="shared" si="2"/>
        <v>95</v>
      </c>
      <c r="B99" s="706" t="s">
        <v>58</v>
      </c>
      <c r="C99" s="702" t="str">
        <f>VLOOKUP(B99,'Location Summary'!$C$4:$D$603,2,FALSE)</f>
        <v>DD60+18</v>
      </c>
      <c r="D99" s="703" t="s">
        <v>99</v>
      </c>
      <c r="E99" s="704">
        <v>45697</v>
      </c>
      <c r="F99" s="704">
        <v>45711</v>
      </c>
      <c r="G99" s="704">
        <v>45711</v>
      </c>
      <c r="H99" s="705">
        <f t="shared" si="5"/>
        <v>14</v>
      </c>
      <c r="I99" s="735" t="s">
        <v>992</v>
      </c>
      <c r="J99" s="705" t="s">
        <v>665</v>
      </c>
      <c r="K99" s="715"/>
      <c r="L99" s="716"/>
      <c r="M99" s="716"/>
      <c r="N99" s="716"/>
    </row>
    <row r="100" spans="1:14" s="722" customFormat="1" ht="27.75" customHeight="1">
      <c r="A100" s="700">
        <f t="shared" si="2"/>
        <v>96</v>
      </c>
      <c r="B100" s="706" t="s">
        <v>59</v>
      </c>
      <c r="C100" s="702" t="str">
        <f>VLOOKUP(B100,'Location Summary'!$C$4:$D$603,2,FALSE)</f>
        <v>DD60+35</v>
      </c>
      <c r="D100" s="703" t="s">
        <v>99</v>
      </c>
      <c r="E100" s="704">
        <v>45697</v>
      </c>
      <c r="F100" s="704">
        <v>45704</v>
      </c>
      <c r="G100" s="704">
        <v>45704</v>
      </c>
      <c r="H100" s="705">
        <f t="shared" si="5"/>
        <v>7</v>
      </c>
      <c r="I100" s="735" t="s">
        <v>992</v>
      </c>
      <c r="J100" s="705" t="s">
        <v>665</v>
      </c>
      <c r="K100" s="715"/>
      <c r="L100" s="716"/>
      <c r="M100" s="716"/>
      <c r="N100" s="716"/>
    </row>
    <row r="101" spans="1:14" s="722" customFormat="1" ht="27.75" customHeight="1">
      <c r="A101" s="700">
        <f t="shared" si="2"/>
        <v>97</v>
      </c>
      <c r="B101" s="706" t="s">
        <v>60</v>
      </c>
      <c r="C101" s="702" t="str">
        <f>VLOOKUP(B101,'Location Summary'!$C$4:$D$603,2,FALSE)</f>
        <v>DD60+35</v>
      </c>
      <c r="D101" s="703" t="s">
        <v>99</v>
      </c>
      <c r="E101" s="704">
        <v>45697</v>
      </c>
      <c r="F101" s="704">
        <v>45701</v>
      </c>
      <c r="G101" s="704">
        <v>45701</v>
      </c>
      <c r="H101" s="705">
        <f t="shared" si="5"/>
        <v>4</v>
      </c>
      <c r="I101" s="735" t="s">
        <v>992</v>
      </c>
      <c r="J101" s="705" t="s">
        <v>665</v>
      </c>
      <c r="K101" s="715"/>
      <c r="L101" s="716"/>
      <c r="M101" s="716"/>
      <c r="N101" s="716"/>
    </row>
    <row r="102" spans="1:14" s="722" customFormat="1" ht="27.75" customHeight="1">
      <c r="A102" s="700">
        <f>A101+1</f>
        <v>98</v>
      </c>
      <c r="B102" s="706" t="s">
        <v>1221</v>
      </c>
      <c r="C102" s="702"/>
      <c r="D102" s="703" t="s">
        <v>99</v>
      </c>
      <c r="E102" s="714">
        <v>45603</v>
      </c>
      <c r="F102" s="704">
        <v>45694</v>
      </c>
      <c r="G102" s="704">
        <v>45694</v>
      </c>
      <c r="H102" s="705">
        <f t="shared" si="5"/>
        <v>91</v>
      </c>
      <c r="I102" s="735" t="s">
        <v>1215</v>
      </c>
      <c r="J102" s="705" t="s">
        <v>665</v>
      </c>
      <c r="K102" s="715"/>
      <c r="L102" s="716"/>
      <c r="M102" s="716"/>
      <c r="N102" s="716"/>
    </row>
    <row r="103" spans="1:14" s="722" customFormat="1" ht="27.75" customHeight="1">
      <c r="A103" s="700">
        <f t="shared" si="2"/>
        <v>99</v>
      </c>
      <c r="B103" s="713" t="s">
        <v>1222</v>
      </c>
      <c r="C103" s="702"/>
      <c r="D103" s="703" t="s">
        <v>1231</v>
      </c>
      <c r="E103" s="714">
        <v>45601</v>
      </c>
      <c r="F103" s="714">
        <v>45670</v>
      </c>
      <c r="G103" s="714">
        <v>45707</v>
      </c>
      <c r="H103" s="705">
        <f t="shared" si="5"/>
        <v>106</v>
      </c>
      <c r="I103" s="735" t="s">
        <v>1216</v>
      </c>
      <c r="J103" s="736" t="s">
        <v>665</v>
      </c>
      <c r="K103" s="725"/>
      <c r="L103" s="724"/>
      <c r="M103" s="724"/>
      <c r="N103" s="724"/>
    </row>
    <row r="104" spans="1:14" s="722" customFormat="1" ht="27.75" customHeight="1">
      <c r="A104" s="700">
        <f t="shared" si="2"/>
        <v>100</v>
      </c>
      <c r="B104" s="706" t="s">
        <v>1228</v>
      </c>
      <c r="C104" s="702"/>
      <c r="D104" s="703" t="s">
        <v>1229</v>
      </c>
      <c r="E104" s="714">
        <v>45697</v>
      </c>
      <c r="F104" s="704">
        <v>45708</v>
      </c>
      <c r="G104" s="704">
        <v>45708</v>
      </c>
      <c r="H104" s="705">
        <f t="shared" si="5"/>
        <v>11</v>
      </c>
      <c r="I104" s="735" t="s">
        <v>1230</v>
      </c>
      <c r="J104" s="705" t="s">
        <v>665</v>
      </c>
      <c r="K104" s="715"/>
      <c r="L104" s="716"/>
      <c r="M104" s="716"/>
      <c r="N104" s="716"/>
    </row>
    <row r="105" spans="1:14" s="722" customFormat="1" ht="27.75" customHeight="1">
      <c r="A105" s="700">
        <f t="shared" si="2"/>
        <v>101</v>
      </c>
      <c r="B105" s="706" t="s">
        <v>1375</v>
      </c>
      <c r="C105" s="702"/>
      <c r="D105" s="703" t="s">
        <v>99</v>
      </c>
      <c r="E105" s="714">
        <v>45696</v>
      </c>
      <c r="F105" s="704">
        <v>45708</v>
      </c>
      <c r="G105" s="704">
        <v>45708</v>
      </c>
      <c r="H105" s="705">
        <f t="shared" ref="H105:H112" si="6">(G105-E105)</f>
        <v>12</v>
      </c>
      <c r="I105" s="735" t="s">
        <v>1232</v>
      </c>
      <c r="J105" s="705" t="s">
        <v>665</v>
      </c>
      <c r="K105" s="715"/>
      <c r="L105" s="716"/>
      <c r="M105" s="716"/>
      <c r="N105" s="716"/>
    </row>
    <row r="106" spans="1:14" s="722" customFormat="1" ht="27.75" customHeight="1">
      <c r="A106" s="700">
        <f t="shared" si="2"/>
        <v>102</v>
      </c>
      <c r="B106" s="706" t="s">
        <v>599</v>
      </c>
      <c r="C106" s="702" t="str">
        <f>VLOOKUP(B106,'Location Summary'!$C$4:$D$603,2,FALSE)</f>
        <v>DA+3</v>
      </c>
      <c r="D106" s="703" t="s">
        <v>99</v>
      </c>
      <c r="E106" s="714">
        <v>45712</v>
      </c>
      <c r="F106" s="704">
        <v>45954</v>
      </c>
      <c r="G106" s="704">
        <v>45954</v>
      </c>
      <c r="H106" s="705">
        <f t="shared" si="6"/>
        <v>242</v>
      </c>
      <c r="I106" s="735" t="s">
        <v>1203</v>
      </c>
      <c r="J106" s="705" t="s">
        <v>665</v>
      </c>
      <c r="K106" s="715"/>
      <c r="L106" s="716"/>
      <c r="M106" s="716"/>
      <c r="N106" s="716"/>
    </row>
    <row r="107" spans="1:14" s="722" customFormat="1" ht="27.75" customHeight="1">
      <c r="A107" s="700">
        <v>104</v>
      </c>
      <c r="B107" s="706" t="s">
        <v>1558</v>
      </c>
      <c r="C107" s="702"/>
      <c r="D107" s="703" t="s">
        <v>1229</v>
      </c>
      <c r="E107" s="714">
        <v>45737</v>
      </c>
      <c r="F107" s="704">
        <v>45748</v>
      </c>
      <c r="G107" s="704">
        <v>45748</v>
      </c>
      <c r="H107" s="705">
        <f t="shared" si="6"/>
        <v>11</v>
      </c>
      <c r="I107" s="735" t="s">
        <v>1366</v>
      </c>
      <c r="J107" s="705" t="s">
        <v>665</v>
      </c>
      <c r="K107" s="721" t="s">
        <v>1367</v>
      </c>
      <c r="L107" s="710" t="s">
        <v>1368</v>
      </c>
      <c r="M107" s="716" t="s">
        <v>1369</v>
      </c>
      <c r="N107" s="716"/>
    </row>
    <row r="108" spans="1:14" s="722" customFormat="1" ht="27.75" customHeight="1">
      <c r="A108" s="700">
        <v>105</v>
      </c>
      <c r="B108" s="706" t="s">
        <v>612</v>
      </c>
      <c r="C108" s="702" t="str">
        <f>VLOOKUP(B108,'Location Summary'!$C$4:$D$603,2,FALSE)</f>
        <v>DA+1.5</v>
      </c>
      <c r="D108" s="703" t="s">
        <v>1229</v>
      </c>
      <c r="E108" s="714">
        <v>45737</v>
      </c>
      <c r="F108" s="704">
        <v>45743</v>
      </c>
      <c r="G108" s="704">
        <v>45743</v>
      </c>
      <c r="H108" s="705">
        <f t="shared" si="6"/>
        <v>6</v>
      </c>
      <c r="I108" s="735" t="s">
        <v>1366</v>
      </c>
      <c r="J108" s="705" t="s">
        <v>665</v>
      </c>
      <c r="K108" s="715"/>
      <c r="L108" s="716"/>
      <c r="M108" s="716"/>
      <c r="N108" s="716"/>
    </row>
    <row r="109" spans="1:14" s="722" customFormat="1" ht="27.75" customHeight="1">
      <c r="A109" s="700">
        <v>106</v>
      </c>
      <c r="B109" s="706" t="s">
        <v>613</v>
      </c>
      <c r="C109" s="702" t="str">
        <f>VLOOKUP(B109,'Location Summary'!$C$4:$D$603,2,FALSE)</f>
        <v>DA+3</v>
      </c>
      <c r="D109" s="703" t="s">
        <v>1229</v>
      </c>
      <c r="E109" s="714">
        <v>45737</v>
      </c>
      <c r="F109" s="704">
        <v>45743</v>
      </c>
      <c r="G109" s="704">
        <v>45743</v>
      </c>
      <c r="H109" s="705">
        <f t="shared" si="6"/>
        <v>6</v>
      </c>
      <c r="I109" s="735" t="s">
        <v>1366</v>
      </c>
      <c r="J109" s="705" t="s">
        <v>665</v>
      </c>
      <c r="K109" s="715"/>
      <c r="L109" s="716"/>
      <c r="M109" s="716"/>
      <c r="N109" s="716"/>
    </row>
    <row r="110" spans="1:14" s="722" customFormat="1" ht="27.75" customHeight="1">
      <c r="A110" s="700">
        <v>107</v>
      </c>
      <c r="B110" s="706" t="s">
        <v>8</v>
      </c>
      <c r="C110" s="702" t="str">
        <f>VLOOKUP(B110,'Location Summary'!$C$4:$D$603,2,FALSE)</f>
        <v>DB2+3</v>
      </c>
      <c r="D110" s="703" t="s">
        <v>1345</v>
      </c>
      <c r="E110" s="714">
        <v>45709</v>
      </c>
      <c r="F110" s="704">
        <v>46043</v>
      </c>
      <c r="G110" s="704">
        <v>46043</v>
      </c>
      <c r="H110" s="705">
        <f t="shared" si="6"/>
        <v>334</v>
      </c>
      <c r="I110" s="735" t="s">
        <v>992</v>
      </c>
      <c r="J110" s="705" t="s">
        <v>665</v>
      </c>
      <c r="K110" s="715" t="s">
        <v>1403</v>
      </c>
      <c r="L110" s="716">
        <v>9828813423</v>
      </c>
      <c r="M110" s="716"/>
      <c r="N110" s="716"/>
    </row>
    <row r="111" spans="1:14" s="722" customFormat="1" ht="27.75" customHeight="1">
      <c r="A111" s="700">
        <v>108</v>
      </c>
      <c r="B111" s="706" t="s">
        <v>604</v>
      </c>
      <c r="C111" s="702" t="str">
        <f>VLOOKUP(B111,'Location Summary'!$C$4:$D$603,2,FALSE)</f>
        <v>DA+3</v>
      </c>
      <c r="D111" s="703" t="s">
        <v>1345</v>
      </c>
      <c r="E111" s="714">
        <v>45709</v>
      </c>
      <c r="F111" s="704">
        <v>46032</v>
      </c>
      <c r="G111" s="704">
        <v>46032</v>
      </c>
      <c r="H111" s="705">
        <f t="shared" si="6"/>
        <v>323</v>
      </c>
      <c r="I111" s="735" t="s">
        <v>992</v>
      </c>
      <c r="J111" s="705" t="s">
        <v>665</v>
      </c>
      <c r="K111" s="722" t="s">
        <v>1402</v>
      </c>
      <c r="L111" s="716">
        <v>9672784822</v>
      </c>
      <c r="M111" s="716"/>
      <c r="N111" s="716"/>
    </row>
    <row r="112" spans="1:14" s="722" customFormat="1" ht="27.75" customHeight="1">
      <c r="A112" s="700">
        <v>109</v>
      </c>
      <c r="B112" s="706" t="s">
        <v>605</v>
      </c>
      <c r="C112" s="702" t="str">
        <f>VLOOKUP(B112,'Location Summary'!$C$4:$D$603,2,FALSE)</f>
        <v>DA-1.5</v>
      </c>
      <c r="D112" s="703" t="s">
        <v>1345</v>
      </c>
      <c r="E112" s="714">
        <v>45709</v>
      </c>
      <c r="F112" s="704">
        <v>46032</v>
      </c>
      <c r="G112" s="704">
        <v>46032</v>
      </c>
      <c r="H112" s="705">
        <f t="shared" si="6"/>
        <v>323</v>
      </c>
      <c r="I112" s="735" t="s">
        <v>992</v>
      </c>
      <c r="J112" s="705" t="s">
        <v>665</v>
      </c>
      <c r="K112" s="715" t="s">
        <v>1401</v>
      </c>
      <c r="L112" s="716">
        <v>8890266896</v>
      </c>
      <c r="M112" s="716"/>
      <c r="N112" s="716"/>
    </row>
    <row r="113" spans="1:14" s="722" customFormat="1" ht="27.75" customHeight="1">
      <c r="A113" s="700">
        <v>110</v>
      </c>
      <c r="B113" s="706" t="s">
        <v>168</v>
      </c>
      <c r="C113" s="702" t="e">
        <f>VLOOKUP(B113,'Location Summary'!$C$4:$D$603,2,FALSE)</f>
        <v>#N/A</v>
      </c>
      <c r="D113" s="703" t="s">
        <v>1345</v>
      </c>
      <c r="E113" s="714">
        <v>45709</v>
      </c>
      <c r="F113" s="704"/>
      <c r="G113" s="704"/>
      <c r="H113" s="705"/>
      <c r="I113" s="735" t="s">
        <v>992</v>
      </c>
      <c r="J113" s="705"/>
      <c r="K113" s="715" t="s">
        <v>1404</v>
      </c>
      <c r="L113" s="716">
        <v>8302174002</v>
      </c>
      <c r="M113" s="716"/>
      <c r="N113" s="716"/>
    </row>
    <row r="114" spans="1:14" s="722" customFormat="1" ht="27.75" customHeight="1">
      <c r="A114" s="700">
        <v>111</v>
      </c>
      <c r="B114" s="706" t="s">
        <v>1257</v>
      </c>
      <c r="C114" s="702" t="str">
        <f>VLOOKUP(B114,'Location Summary'!$C$4:$D$603,2,FALSE)</f>
        <v>DA+6</v>
      </c>
      <c r="D114" s="703" t="s">
        <v>99</v>
      </c>
      <c r="E114" s="714">
        <v>45745</v>
      </c>
      <c r="F114" s="704">
        <v>45766</v>
      </c>
      <c r="G114" s="704">
        <v>45766</v>
      </c>
      <c r="H114" s="705">
        <f t="shared" ref="H114:H120" si="7">(G114-E114)</f>
        <v>21</v>
      </c>
      <c r="I114" s="735" t="s">
        <v>1412</v>
      </c>
      <c r="J114" s="705" t="s">
        <v>665</v>
      </c>
      <c r="K114" s="715" t="s">
        <v>1413</v>
      </c>
      <c r="L114" s="716">
        <v>8824821647</v>
      </c>
      <c r="M114" s="716"/>
      <c r="N114" s="716"/>
    </row>
    <row r="115" spans="1:14" s="722" customFormat="1" ht="27.75" customHeight="1">
      <c r="A115" s="700">
        <v>112</v>
      </c>
      <c r="B115" s="706" t="s">
        <v>256</v>
      </c>
      <c r="C115" s="702" t="str">
        <f>VLOOKUP(B115,'Location Summary'!$C$4:$D$603,2,FALSE)</f>
        <v>DB2+9</v>
      </c>
      <c r="D115" s="703" t="s">
        <v>99</v>
      </c>
      <c r="E115" s="714">
        <v>45745</v>
      </c>
      <c r="F115" s="704">
        <v>45766</v>
      </c>
      <c r="G115" s="704">
        <v>45766</v>
      </c>
      <c r="H115" s="705">
        <v>0</v>
      </c>
      <c r="I115" s="735" t="s">
        <v>1412</v>
      </c>
      <c r="J115" s="705" t="s">
        <v>665</v>
      </c>
      <c r="K115" s="715" t="s">
        <v>1416</v>
      </c>
      <c r="L115" s="716">
        <v>9829622661</v>
      </c>
      <c r="M115" s="716"/>
      <c r="N115" s="716"/>
    </row>
    <row r="116" spans="1:14" s="722" customFormat="1" ht="27.75" customHeight="1">
      <c r="A116" s="700">
        <v>113</v>
      </c>
      <c r="B116" s="706" t="s">
        <v>1440</v>
      </c>
      <c r="C116" s="702"/>
      <c r="D116" s="703" t="s">
        <v>99</v>
      </c>
      <c r="E116" s="714">
        <v>45762</v>
      </c>
      <c r="F116" s="704" t="s">
        <v>1449</v>
      </c>
      <c r="G116" s="704" t="s">
        <v>1449</v>
      </c>
      <c r="H116" s="705">
        <f t="shared" si="7"/>
        <v>17</v>
      </c>
      <c r="I116" s="735" t="s">
        <v>1436</v>
      </c>
      <c r="J116" s="705" t="s">
        <v>665</v>
      </c>
      <c r="K116" s="715"/>
      <c r="L116" s="716"/>
      <c r="M116" s="716"/>
      <c r="N116" s="716"/>
    </row>
    <row r="117" spans="1:14" s="722" customFormat="1" ht="27.75" customHeight="1">
      <c r="A117" s="700">
        <v>114</v>
      </c>
      <c r="B117" s="706" t="s">
        <v>1246</v>
      </c>
      <c r="C117" s="702" t="s">
        <v>211</v>
      </c>
      <c r="D117" s="703" t="s">
        <v>99</v>
      </c>
      <c r="E117" s="714">
        <v>45773</v>
      </c>
      <c r="F117" s="704">
        <v>45776</v>
      </c>
      <c r="G117" s="704">
        <v>45776</v>
      </c>
      <c r="H117" s="705">
        <f t="shared" si="7"/>
        <v>3</v>
      </c>
      <c r="I117" s="735" t="s">
        <v>1443</v>
      </c>
      <c r="J117" s="705" t="s">
        <v>665</v>
      </c>
      <c r="K117" s="715" t="s">
        <v>1444</v>
      </c>
      <c r="L117" s="716">
        <v>9950238877</v>
      </c>
      <c r="M117" s="716" t="s">
        <v>1445</v>
      </c>
      <c r="N117" s="716"/>
    </row>
    <row r="118" spans="1:14" s="722" customFormat="1" ht="27.75" customHeight="1">
      <c r="A118" s="700">
        <v>115</v>
      </c>
      <c r="B118" s="706" t="s">
        <v>268</v>
      </c>
      <c r="C118" s="702" t="str">
        <f>VLOOKUP(B118,'Location Summary'!$C$4:$D$603,2,FALSE)</f>
        <v>DD60+0</v>
      </c>
      <c r="D118" s="703" t="s">
        <v>99</v>
      </c>
      <c r="E118" s="714">
        <v>45780</v>
      </c>
      <c r="F118" s="704">
        <v>45814</v>
      </c>
      <c r="G118" s="704">
        <v>45814</v>
      </c>
      <c r="H118" s="705">
        <f t="shared" si="7"/>
        <v>34</v>
      </c>
      <c r="I118" s="735" t="s">
        <v>1450</v>
      </c>
      <c r="J118" s="705" t="s">
        <v>665</v>
      </c>
      <c r="K118" s="715"/>
      <c r="L118" s="716"/>
      <c r="M118" s="716"/>
      <c r="N118" s="716"/>
    </row>
    <row r="119" spans="1:14" s="722" customFormat="1" ht="27.75" customHeight="1">
      <c r="A119" s="700">
        <f>A118+1</f>
        <v>116</v>
      </c>
      <c r="B119" s="706" t="s">
        <v>1250</v>
      </c>
      <c r="C119" s="702" t="str">
        <f>VLOOKUP(B119,'Location Summary'!$C$4:$D$603,2,FALSE)</f>
        <v>DD45+0</v>
      </c>
      <c r="D119" s="703" t="s">
        <v>99</v>
      </c>
      <c r="E119" s="714">
        <v>45762</v>
      </c>
      <c r="F119" s="704">
        <v>45843</v>
      </c>
      <c r="G119" s="704">
        <v>45843</v>
      </c>
      <c r="H119" s="705">
        <f t="shared" si="7"/>
        <v>81</v>
      </c>
      <c r="I119" s="735" t="s">
        <v>1450</v>
      </c>
      <c r="J119" s="705" t="s">
        <v>665</v>
      </c>
      <c r="K119" s="715"/>
      <c r="L119" s="716"/>
      <c r="M119" s="716"/>
      <c r="N119" s="716"/>
    </row>
    <row r="120" spans="1:14" s="722" customFormat="1" ht="27.75" customHeight="1">
      <c r="A120" s="700">
        <f>A119+1</f>
        <v>117</v>
      </c>
      <c r="B120" s="706" t="s">
        <v>1252</v>
      </c>
      <c r="C120" s="702" t="str">
        <f>VLOOKUP(B120,'Location Summary'!$C$4:$D$603,2,FALSE)</f>
        <v>DA+0</v>
      </c>
      <c r="D120" s="703" t="s">
        <v>99</v>
      </c>
      <c r="E120" s="714">
        <v>45780</v>
      </c>
      <c r="F120" s="704">
        <v>45835</v>
      </c>
      <c r="G120" s="704">
        <v>45835</v>
      </c>
      <c r="H120" s="705">
        <f t="shared" si="7"/>
        <v>55</v>
      </c>
      <c r="I120" s="735" t="s">
        <v>1450</v>
      </c>
      <c r="J120" s="705" t="s">
        <v>665</v>
      </c>
      <c r="K120" s="715"/>
      <c r="L120" s="716"/>
      <c r="M120" s="716"/>
      <c r="N120" s="716"/>
    </row>
    <row r="121" spans="1:14" s="722" customFormat="1" ht="27.75" customHeight="1">
      <c r="A121" s="700">
        <f t="shared" ref="A121:A188" si="8">A120+1</f>
        <v>118</v>
      </c>
      <c r="B121" s="706" t="s">
        <v>603</v>
      </c>
      <c r="C121" s="702" t="e">
        <f>VLOOKUP(B121,'Location Summary'!$C$4:$D$603,2,FALSE)</f>
        <v>#N/A</v>
      </c>
      <c r="D121" s="703" t="s">
        <v>1345</v>
      </c>
      <c r="E121" s="714">
        <v>45709</v>
      </c>
      <c r="F121" s="704"/>
      <c r="G121" s="704"/>
      <c r="H121" s="705"/>
      <c r="I121" s="735" t="s">
        <v>992</v>
      </c>
      <c r="J121" s="705"/>
      <c r="K121" s="715"/>
      <c r="L121" s="716"/>
      <c r="M121" s="716"/>
      <c r="N121" s="716"/>
    </row>
    <row r="122" spans="1:14" s="722" customFormat="1" ht="27.75" customHeight="1">
      <c r="A122" s="700">
        <f t="shared" si="8"/>
        <v>119</v>
      </c>
      <c r="B122" s="706" t="s">
        <v>599</v>
      </c>
      <c r="C122" s="702" t="str">
        <f>VLOOKUP(B122,'Location Summary'!$C$4:$D$603,2,FALSE)</f>
        <v>DA+3</v>
      </c>
      <c r="D122" s="703" t="s">
        <v>1345</v>
      </c>
      <c r="E122" s="714">
        <v>45843</v>
      </c>
      <c r="F122" s="704">
        <v>46056</v>
      </c>
      <c r="G122" s="704">
        <v>46056</v>
      </c>
      <c r="H122" s="705">
        <f t="shared" ref="H122:H128" si="9">(G122-E122)</f>
        <v>213</v>
      </c>
      <c r="I122" s="735" t="s">
        <v>992</v>
      </c>
      <c r="J122" s="705" t="s">
        <v>665</v>
      </c>
      <c r="K122" s="715"/>
      <c r="L122" s="716"/>
      <c r="M122" s="716"/>
      <c r="N122" s="716"/>
    </row>
    <row r="123" spans="1:14" s="722" customFormat="1" ht="27.75" customHeight="1">
      <c r="A123" s="700">
        <f t="shared" si="8"/>
        <v>120</v>
      </c>
      <c r="B123" s="706" t="s">
        <v>592</v>
      </c>
      <c r="C123" s="702" t="str">
        <f>VLOOKUP(B123,'Location Summary'!$C$4:$D$603,2,FALSE)</f>
        <v>DA-3</v>
      </c>
      <c r="D123" s="703" t="s">
        <v>1345</v>
      </c>
      <c r="E123" s="714">
        <v>45843</v>
      </c>
      <c r="F123" s="704">
        <v>45878</v>
      </c>
      <c r="G123" s="704">
        <v>45989</v>
      </c>
      <c r="H123" s="705">
        <f t="shared" si="9"/>
        <v>146</v>
      </c>
      <c r="I123" s="735" t="s">
        <v>992</v>
      </c>
      <c r="J123" s="705" t="s">
        <v>665</v>
      </c>
      <c r="K123" s="715"/>
      <c r="L123" s="716"/>
      <c r="M123" s="716"/>
      <c r="N123" s="716"/>
    </row>
    <row r="124" spans="1:14" s="722" customFormat="1" ht="27.75" customHeight="1">
      <c r="A124" s="700">
        <f t="shared" si="8"/>
        <v>121</v>
      </c>
      <c r="B124" s="706" t="s">
        <v>591</v>
      </c>
      <c r="C124" s="702" t="str">
        <f>VLOOKUP(B124,'Location Summary'!$C$4:$D$603,2,FALSE)</f>
        <v>DA+6</v>
      </c>
      <c r="D124" s="703" t="s">
        <v>1345</v>
      </c>
      <c r="E124" s="714">
        <v>45843</v>
      </c>
      <c r="F124" s="704">
        <v>45866</v>
      </c>
      <c r="G124" s="704">
        <v>45866</v>
      </c>
      <c r="H124" s="705">
        <f t="shared" si="9"/>
        <v>23</v>
      </c>
      <c r="I124" s="735" t="s">
        <v>992</v>
      </c>
      <c r="J124" s="705" t="s">
        <v>665</v>
      </c>
      <c r="K124" s="715"/>
      <c r="L124" s="716"/>
      <c r="M124" s="716"/>
      <c r="N124" s="716"/>
    </row>
    <row r="125" spans="1:14" s="722" customFormat="1" ht="27.75" customHeight="1">
      <c r="A125" s="700">
        <f t="shared" si="8"/>
        <v>122</v>
      </c>
      <c r="B125" s="706" t="s">
        <v>575</v>
      </c>
      <c r="C125" s="702" t="str">
        <f>VLOOKUP(B125,'Location Summary'!$C$4:$D$603,2,FALSE)</f>
        <v>DA+1.5</v>
      </c>
      <c r="D125" s="703" t="s">
        <v>1345</v>
      </c>
      <c r="E125" s="714">
        <v>45843</v>
      </c>
      <c r="F125" s="704">
        <v>45886</v>
      </c>
      <c r="G125" s="704">
        <v>45886</v>
      </c>
      <c r="H125" s="705">
        <f t="shared" si="9"/>
        <v>43</v>
      </c>
      <c r="I125" s="735" t="s">
        <v>992</v>
      </c>
      <c r="J125" s="705" t="s">
        <v>665</v>
      </c>
      <c r="K125" s="715"/>
      <c r="L125" s="716"/>
      <c r="M125" s="716"/>
      <c r="N125" s="716"/>
    </row>
    <row r="126" spans="1:14" s="722" customFormat="1" ht="27.75" customHeight="1">
      <c r="A126" s="700">
        <f t="shared" si="8"/>
        <v>123</v>
      </c>
      <c r="B126" s="706" t="s">
        <v>573</v>
      </c>
      <c r="C126" s="702" t="str">
        <f>VLOOKUP(B126,'Location Summary'!$C$4:$D$603,2,FALSE)</f>
        <v>DA+6</v>
      </c>
      <c r="D126" s="703" t="s">
        <v>1345</v>
      </c>
      <c r="E126" s="714">
        <v>45843</v>
      </c>
      <c r="F126" s="704">
        <v>45860</v>
      </c>
      <c r="G126" s="704">
        <v>45860</v>
      </c>
      <c r="H126" s="705">
        <f t="shared" si="9"/>
        <v>17</v>
      </c>
      <c r="I126" s="735" t="s">
        <v>992</v>
      </c>
      <c r="J126" s="705" t="s">
        <v>665</v>
      </c>
      <c r="K126" s="715"/>
      <c r="L126" s="716"/>
      <c r="M126" s="716"/>
      <c r="N126" s="716"/>
    </row>
    <row r="127" spans="1:14" s="722" customFormat="1" ht="27.75" customHeight="1">
      <c r="A127" s="700">
        <f t="shared" si="8"/>
        <v>124</v>
      </c>
      <c r="B127" s="706" t="s">
        <v>187</v>
      </c>
      <c r="C127" s="702" t="str">
        <f>VLOOKUP(B127,'Location Summary'!$C$4:$D$603,2,FALSE)</f>
        <v>DA+3</v>
      </c>
      <c r="D127" s="703" t="s">
        <v>1345</v>
      </c>
      <c r="E127" s="714">
        <v>45843</v>
      </c>
      <c r="F127" s="704">
        <v>45904</v>
      </c>
      <c r="G127" s="704">
        <v>45904</v>
      </c>
      <c r="H127" s="705">
        <f t="shared" si="9"/>
        <v>61</v>
      </c>
      <c r="I127" s="735" t="s">
        <v>992</v>
      </c>
      <c r="J127" s="705" t="s">
        <v>665</v>
      </c>
      <c r="K127" s="715"/>
      <c r="L127" s="716"/>
      <c r="M127" s="716"/>
      <c r="N127" s="716"/>
    </row>
    <row r="128" spans="1:14" s="722" customFormat="1" ht="27.75" customHeight="1">
      <c r="A128" s="700">
        <f t="shared" si="8"/>
        <v>125</v>
      </c>
      <c r="B128" s="706" t="s">
        <v>70</v>
      </c>
      <c r="C128" s="702" t="str">
        <f>VLOOKUP(B128,'Location Summary'!$C$4:$D$603,2,FALSE)</f>
        <v>DA+3</v>
      </c>
      <c r="D128" s="703" t="s">
        <v>1345</v>
      </c>
      <c r="E128" s="714">
        <v>45843</v>
      </c>
      <c r="F128" s="704">
        <v>45898</v>
      </c>
      <c r="G128" s="704">
        <v>45898</v>
      </c>
      <c r="H128" s="705">
        <f t="shared" si="9"/>
        <v>55</v>
      </c>
      <c r="I128" s="735" t="s">
        <v>992</v>
      </c>
      <c r="J128" s="705" t="s">
        <v>665</v>
      </c>
      <c r="K128" s="715"/>
      <c r="L128" s="716"/>
      <c r="M128" s="716"/>
      <c r="N128" s="716"/>
    </row>
    <row r="129" spans="1:14" s="722" customFormat="1" ht="27.75" customHeight="1">
      <c r="A129" s="700">
        <f t="shared" si="8"/>
        <v>126</v>
      </c>
      <c r="B129" s="706" t="s">
        <v>69</v>
      </c>
      <c r="C129" s="702" t="str">
        <f>VLOOKUP(B129,'Location Summary'!$C$4:$D$603,2,FALSE)</f>
        <v>DA+9</v>
      </c>
      <c r="D129" s="703" t="s">
        <v>1345</v>
      </c>
      <c r="E129" s="714">
        <v>45843</v>
      </c>
      <c r="F129" s="704">
        <v>45878</v>
      </c>
      <c r="G129" s="704">
        <v>45878</v>
      </c>
      <c r="H129" s="705">
        <f>(G129-E129)</f>
        <v>35</v>
      </c>
      <c r="I129" s="735" t="s">
        <v>992</v>
      </c>
      <c r="J129" s="705" t="s">
        <v>665</v>
      </c>
      <c r="K129" s="715"/>
      <c r="L129" s="716"/>
      <c r="M129" s="716"/>
      <c r="N129" s="716"/>
    </row>
    <row r="130" spans="1:14" s="722" customFormat="1" ht="27.75" customHeight="1">
      <c r="A130" s="700">
        <f t="shared" si="8"/>
        <v>127</v>
      </c>
      <c r="B130" s="706" t="s">
        <v>68</v>
      </c>
      <c r="C130" s="702" t="str">
        <f>VLOOKUP(B130,'Location Summary'!$C$4:$D$603,2,FALSE)</f>
        <v>DA+9</v>
      </c>
      <c r="D130" s="703" t="s">
        <v>1345</v>
      </c>
      <c r="E130" s="714">
        <v>45843</v>
      </c>
      <c r="F130" s="704">
        <v>45893</v>
      </c>
      <c r="G130" s="704">
        <v>45893</v>
      </c>
      <c r="H130" s="705">
        <f>(G130-E130)</f>
        <v>50</v>
      </c>
      <c r="I130" s="735" t="s">
        <v>992</v>
      </c>
      <c r="J130" s="705" t="s">
        <v>665</v>
      </c>
      <c r="K130" s="715"/>
      <c r="L130" s="716"/>
      <c r="M130" s="716"/>
      <c r="N130" s="716"/>
    </row>
    <row r="131" spans="1:14" s="722" customFormat="1" ht="27.75" customHeight="1">
      <c r="A131" s="700">
        <f t="shared" si="8"/>
        <v>128</v>
      </c>
      <c r="B131" s="706" t="s">
        <v>67</v>
      </c>
      <c r="C131" s="702" t="str">
        <f>VLOOKUP(B131,'Location Summary'!$C$4:$D$603,2,FALSE)</f>
        <v>DB1+9</v>
      </c>
      <c r="D131" s="703" t="s">
        <v>1345</v>
      </c>
      <c r="E131" s="714">
        <v>45843</v>
      </c>
      <c r="F131" s="704">
        <v>45902</v>
      </c>
      <c r="G131" s="704">
        <v>45902</v>
      </c>
      <c r="H131" s="705">
        <f>(G131-E131)</f>
        <v>59</v>
      </c>
      <c r="I131" s="735" t="s">
        <v>992</v>
      </c>
      <c r="J131" s="705" t="s">
        <v>665</v>
      </c>
      <c r="K131" s="715"/>
      <c r="L131" s="716"/>
      <c r="M131" s="716"/>
      <c r="N131" s="716"/>
    </row>
    <row r="132" spans="1:14" s="722" customFormat="1" ht="27.75" customHeight="1">
      <c r="A132" s="700">
        <f t="shared" si="8"/>
        <v>129</v>
      </c>
      <c r="B132" s="706" t="s">
        <v>776</v>
      </c>
      <c r="C132" s="702" t="str">
        <f>VLOOKUP(B132,'Location Summary'!$C$4:$D$603,2,FALSE)</f>
        <v>DA+6</v>
      </c>
      <c r="D132" s="703" t="s">
        <v>1345</v>
      </c>
      <c r="E132" s="714">
        <v>45843</v>
      </c>
      <c r="F132" s="704">
        <v>45882</v>
      </c>
      <c r="G132" s="704">
        <v>45882</v>
      </c>
      <c r="H132" s="705">
        <f t="shared" ref="H132:H140" si="10">(G132-E132)</f>
        <v>39</v>
      </c>
      <c r="I132" s="735" t="s">
        <v>992</v>
      </c>
      <c r="J132" s="705" t="s">
        <v>665</v>
      </c>
      <c r="K132" s="715"/>
      <c r="L132" s="716"/>
      <c r="M132" s="716"/>
      <c r="N132" s="716"/>
    </row>
    <row r="133" spans="1:14" s="722" customFormat="1" ht="27.75" customHeight="1">
      <c r="A133" s="700">
        <f t="shared" si="8"/>
        <v>130</v>
      </c>
      <c r="B133" s="706" t="s">
        <v>775</v>
      </c>
      <c r="C133" s="702" t="str">
        <f>VLOOKUP(B133,'Location Summary'!$C$4:$D$603,2,FALSE)</f>
        <v>DB1+9</v>
      </c>
      <c r="D133" s="703" t="s">
        <v>1345</v>
      </c>
      <c r="E133" s="714">
        <v>45843</v>
      </c>
      <c r="F133" s="704">
        <v>45869</v>
      </c>
      <c r="G133" s="704">
        <v>45869</v>
      </c>
      <c r="H133" s="705">
        <f t="shared" si="10"/>
        <v>26</v>
      </c>
      <c r="I133" s="735" t="s">
        <v>992</v>
      </c>
      <c r="J133" s="705" t="s">
        <v>665</v>
      </c>
      <c r="K133" s="715"/>
      <c r="L133" s="716"/>
      <c r="M133" s="716"/>
      <c r="N133" s="716"/>
    </row>
    <row r="134" spans="1:14" s="722" customFormat="1" ht="27.75" customHeight="1">
      <c r="A134" s="700">
        <f t="shared" si="8"/>
        <v>131</v>
      </c>
      <c r="B134" s="706" t="s">
        <v>164</v>
      </c>
      <c r="C134" s="702" t="str">
        <f>VLOOKUP(B134,'Location Summary'!$C$4:$D$603,2,FALSE)</f>
        <v>DA+3</v>
      </c>
      <c r="D134" s="703" t="s">
        <v>1345</v>
      </c>
      <c r="E134" s="714">
        <v>45873</v>
      </c>
      <c r="F134" s="704">
        <v>45881</v>
      </c>
      <c r="G134" s="704">
        <v>45881</v>
      </c>
      <c r="H134" s="705">
        <f t="shared" si="10"/>
        <v>8</v>
      </c>
      <c r="I134" s="735" t="s">
        <v>1492</v>
      </c>
      <c r="J134" s="705" t="s">
        <v>665</v>
      </c>
      <c r="K134" s="715"/>
      <c r="L134" s="716"/>
      <c r="M134" s="716"/>
      <c r="N134" s="716"/>
    </row>
    <row r="135" spans="1:14" s="722" customFormat="1" ht="27.75" customHeight="1">
      <c r="A135" s="700">
        <f t="shared" si="8"/>
        <v>132</v>
      </c>
      <c r="B135" s="706" t="s">
        <v>13</v>
      </c>
      <c r="C135" s="702" t="str">
        <f>VLOOKUP(B135,'Location Summary'!$C$4:$D$603,2,FALSE)</f>
        <v>DC1+3</v>
      </c>
      <c r="D135" s="703" t="s">
        <v>1345</v>
      </c>
      <c r="E135" s="714">
        <v>45936</v>
      </c>
      <c r="F135" s="704">
        <v>45980</v>
      </c>
      <c r="G135" s="704">
        <v>45985</v>
      </c>
      <c r="H135" s="705">
        <f t="shared" si="10"/>
        <v>49</v>
      </c>
      <c r="I135" s="735" t="s">
        <v>1574</v>
      </c>
      <c r="J135" s="705" t="s">
        <v>665</v>
      </c>
      <c r="K135" s="715"/>
      <c r="L135" s="716"/>
      <c r="M135" s="716"/>
      <c r="N135" s="716"/>
    </row>
    <row r="136" spans="1:14" s="722" customFormat="1" ht="27.75" customHeight="1">
      <c r="A136" s="700">
        <f t="shared" si="8"/>
        <v>133</v>
      </c>
      <c r="B136" s="706" t="s">
        <v>1250</v>
      </c>
      <c r="C136" s="702" t="str">
        <f>VLOOKUP(B136,'Location Summary'!$C$4:$D$603,2,FALSE)</f>
        <v>DD45+0</v>
      </c>
      <c r="D136" s="703" t="s">
        <v>1345</v>
      </c>
      <c r="E136" s="714">
        <v>45891</v>
      </c>
      <c r="F136" s="704">
        <v>46021</v>
      </c>
      <c r="G136" s="704">
        <v>46021</v>
      </c>
      <c r="H136" s="705">
        <f t="shared" si="10"/>
        <v>130</v>
      </c>
      <c r="I136" s="735" t="s">
        <v>1563</v>
      </c>
      <c r="J136" s="705" t="s">
        <v>665</v>
      </c>
      <c r="K136" s="715"/>
      <c r="L136" s="716"/>
      <c r="M136" s="716"/>
      <c r="N136" s="716"/>
    </row>
    <row r="137" spans="1:14" s="722" customFormat="1" ht="27.75" customHeight="1">
      <c r="A137" s="700">
        <f t="shared" si="8"/>
        <v>134</v>
      </c>
      <c r="B137" s="706" t="s">
        <v>409</v>
      </c>
      <c r="C137" s="702" t="str">
        <f>VLOOKUP(B137,'Location Summary'!$C$4:$D$603,2,FALSE)</f>
        <v>DA+0</v>
      </c>
      <c r="D137" s="703" t="s">
        <v>1345</v>
      </c>
      <c r="E137" s="714">
        <v>45870</v>
      </c>
      <c r="F137" s="704">
        <v>45994</v>
      </c>
      <c r="G137" s="704">
        <f>F137</f>
        <v>45994</v>
      </c>
      <c r="H137" s="705">
        <f t="shared" si="10"/>
        <v>124</v>
      </c>
      <c r="I137" s="735" t="s">
        <v>1562</v>
      </c>
      <c r="J137" s="705" t="s">
        <v>665</v>
      </c>
      <c r="K137" s="715"/>
      <c r="L137" s="716"/>
      <c r="M137" s="716"/>
      <c r="N137" s="716"/>
    </row>
    <row r="138" spans="1:14" s="722" customFormat="1" ht="27.75" customHeight="1">
      <c r="A138" s="700">
        <f t="shared" si="8"/>
        <v>135</v>
      </c>
      <c r="B138" s="706" t="s">
        <v>265</v>
      </c>
      <c r="C138" s="702" t="str">
        <f>VLOOKUP(B138,'Location Summary'!$C$4:$D$603,2,FALSE)</f>
        <v>DD45+0</v>
      </c>
      <c r="D138" s="703" t="s">
        <v>1345</v>
      </c>
      <c r="E138" s="714">
        <v>45870</v>
      </c>
      <c r="F138" s="704">
        <v>45973</v>
      </c>
      <c r="G138" s="704">
        <v>45973</v>
      </c>
      <c r="H138" s="705">
        <f t="shared" si="10"/>
        <v>103</v>
      </c>
      <c r="I138" s="735" t="s">
        <v>1559</v>
      </c>
      <c r="J138" s="705" t="s">
        <v>665</v>
      </c>
      <c r="K138" s="715"/>
      <c r="L138" s="716"/>
      <c r="M138" s="716"/>
      <c r="N138" s="716"/>
    </row>
    <row r="139" spans="1:14" s="722" customFormat="1" ht="27.75" customHeight="1">
      <c r="A139" s="700">
        <f t="shared" si="8"/>
        <v>136</v>
      </c>
      <c r="B139" s="706" t="s">
        <v>267</v>
      </c>
      <c r="C139" s="702" t="str">
        <f>VLOOKUP(B139,'Location Summary'!$C$4:$D$603,2,FALSE)</f>
        <v>DD60+9</v>
      </c>
      <c r="D139" s="703" t="s">
        <v>1345</v>
      </c>
      <c r="E139" s="714">
        <v>45903</v>
      </c>
      <c r="F139" s="704">
        <v>46007</v>
      </c>
      <c r="G139" s="704">
        <v>46007</v>
      </c>
      <c r="H139" s="705">
        <f t="shared" si="10"/>
        <v>104</v>
      </c>
      <c r="I139" s="735" t="s">
        <v>1564</v>
      </c>
      <c r="J139" s="705" t="s">
        <v>665</v>
      </c>
      <c r="K139" s="715"/>
      <c r="L139" s="716"/>
      <c r="M139" s="716"/>
      <c r="N139" s="716"/>
    </row>
    <row r="140" spans="1:14" s="722" customFormat="1" ht="27.75" customHeight="1">
      <c r="A140" s="700">
        <f t="shared" si="8"/>
        <v>137</v>
      </c>
      <c r="B140" s="706" t="s">
        <v>485</v>
      </c>
      <c r="C140" s="702" t="str">
        <f>VLOOKUP(B140,'Location Summary'!$C$4:$D$603,2,FALSE)</f>
        <v>DB1+9</v>
      </c>
      <c r="D140" s="703" t="s">
        <v>1345</v>
      </c>
      <c r="E140" s="714">
        <v>45903</v>
      </c>
      <c r="F140" s="704">
        <v>46008</v>
      </c>
      <c r="G140" s="704">
        <v>46008</v>
      </c>
      <c r="H140" s="705">
        <f t="shared" si="10"/>
        <v>105</v>
      </c>
      <c r="I140" s="735" t="s">
        <v>1565</v>
      </c>
      <c r="J140" s="705" t="s">
        <v>665</v>
      </c>
      <c r="K140" s="715"/>
      <c r="L140" s="716"/>
      <c r="M140" s="716"/>
      <c r="N140" s="716"/>
    </row>
    <row r="141" spans="1:14" s="722" customFormat="1" ht="27.75" customHeight="1">
      <c r="A141" s="700">
        <f t="shared" si="8"/>
        <v>138</v>
      </c>
      <c r="B141" s="706" t="s">
        <v>11</v>
      </c>
      <c r="C141" s="702" t="str">
        <f>VLOOKUP(B141,'Location Summary'!$C$4:$D$603,2,FALSE)</f>
        <v>DD60+18</v>
      </c>
      <c r="D141" s="703" t="s">
        <v>1345</v>
      </c>
      <c r="E141" s="714">
        <v>45903</v>
      </c>
      <c r="F141" s="704">
        <v>45991</v>
      </c>
      <c r="G141" s="704">
        <v>45991</v>
      </c>
      <c r="H141" s="705">
        <f t="shared" ref="H141:H148" si="11">G141-E141</f>
        <v>88</v>
      </c>
      <c r="I141" s="735" t="s">
        <v>1566</v>
      </c>
      <c r="J141" s="705" t="s">
        <v>665</v>
      </c>
      <c r="K141" s="715"/>
      <c r="L141" s="716"/>
      <c r="M141" s="716"/>
      <c r="N141" s="716"/>
    </row>
    <row r="142" spans="1:14" s="722" customFormat="1" ht="27.75" customHeight="1">
      <c r="A142" s="700">
        <f t="shared" si="8"/>
        <v>139</v>
      </c>
      <c r="B142" s="706" t="s">
        <v>308</v>
      </c>
      <c r="C142" s="702" t="str">
        <f>VLOOKUP(B142,'Location Summary'!$C$4:$D$603,2,FALSE)</f>
        <v>DA+6</v>
      </c>
      <c r="D142" s="703" t="s">
        <v>1345</v>
      </c>
      <c r="E142" s="714">
        <v>45903</v>
      </c>
      <c r="F142" s="704">
        <v>45987</v>
      </c>
      <c r="G142" s="704">
        <v>45987</v>
      </c>
      <c r="H142" s="705">
        <f t="shared" si="11"/>
        <v>84</v>
      </c>
      <c r="I142" s="735" t="s">
        <v>1567</v>
      </c>
      <c r="J142" s="705" t="s">
        <v>665</v>
      </c>
      <c r="K142" s="715"/>
      <c r="L142" s="716"/>
      <c r="M142" s="716"/>
      <c r="N142" s="716"/>
    </row>
    <row r="143" spans="1:14" s="722" customFormat="1" ht="29">
      <c r="A143" s="700">
        <f t="shared" si="8"/>
        <v>140</v>
      </c>
      <c r="B143" s="706" t="s">
        <v>422</v>
      </c>
      <c r="C143" s="702" t="str">
        <f>VLOOKUP(B143,'Location Summary'!$C$4:$D$603,2,FALSE)</f>
        <v>DA+0</v>
      </c>
      <c r="D143" s="703" t="s">
        <v>1345</v>
      </c>
      <c r="E143" s="714">
        <v>45903</v>
      </c>
      <c r="F143" s="704">
        <v>45983</v>
      </c>
      <c r="G143" s="704">
        <v>45983</v>
      </c>
      <c r="H143" s="705">
        <f t="shared" si="11"/>
        <v>80</v>
      </c>
      <c r="I143" s="735" t="s">
        <v>1568</v>
      </c>
      <c r="J143" s="705" t="s">
        <v>665</v>
      </c>
      <c r="K143" s="715"/>
      <c r="L143" s="716"/>
      <c r="M143" s="716"/>
      <c r="N143" s="716"/>
    </row>
    <row r="144" spans="1:14" s="722" customFormat="1" ht="27.75" customHeight="1">
      <c r="A144" s="700">
        <f t="shared" si="8"/>
        <v>141</v>
      </c>
      <c r="B144" s="706" t="s">
        <v>423</v>
      </c>
      <c r="C144" s="702" t="str">
        <f>VLOOKUP(B144,'Location Summary'!$C$4:$D$603,2,FALSE)</f>
        <v>DA-1.5</v>
      </c>
      <c r="D144" s="703" t="s">
        <v>1345</v>
      </c>
      <c r="E144" s="714">
        <v>45903</v>
      </c>
      <c r="F144" s="704">
        <v>45977</v>
      </c>
      <c r="G144" s="704">
        <v>45977</v>
      </c>
      <c r="H144" s="705">
        <f t="shared" si="11"/>
        <v>74</v>
      </c>
      <c r="I144" s="735" t="s">
        <v>1559</v>
      </c>
      <c r="J144" s="705" t="s">
        <v>665</v>
      </c>
      <c r="K144" s="715"/>
      <c r="L144" s="716"/>
      <c r="M144" s="716"/>
      <c r="N144" s="716"/>
    </row>
    <row r="145" spans="1:14" s="722" customFormat="1" ht="27.75" customHeight="1">
      <c r="A145" s="700">
        <f t="shared" si="8"/>
        <v>142</v>
      </c>
      <c r="B145" s="706" t="s">
        <v>424</v>
      </c>
      <c r="C145" s="702" t="str">
        <f>VLOOKUP(B145,'Location Summary'!$C$4:$D$603,2,FALSE)</f>
        <v>DA+0</v>
      </c>
      <c r="D145" s="703" t="s">
        <v>1345</v>
      </c>
      <c r="E145" s="714">
        <v>45903</v>
      </c>
      <c r="F145" s="704">
        <v>45996</v>
      </c>
      <c r="G145" s="704">
        <v>45996</v>
      </c>
      <c r="H145" s="705">
        <f t="shared" si="11"/>
        <v>93</v>
      </c>
      <c r="I145" s="735" t="s">
        <v>1569</v>
      </c>
      <c r="J145" s="705" t="s">
        <v>665</v>
      </c>
      <c r="K145" s="715"/>
      <c r="L145" s="716"/>
      <c r="M145" s="716"/>
      <c r="N145" s="716"/>
    </row>
    <row r="146" spans="1:14" s="722" customFormat="1" ht="27.75" customHeight="1">
      <c r="A146" s="700">
        <f t="shared" si="8"/>
        <v>143</v>
      </c>
      <c r="B146" s="706" t="s">
        <v>425</v>
      </c>
      <c r="C146" s="702" t="str">
        <f>VLOOKUP(B146,'Location Summary'!$C$4:$D$603,2,FALSE)</f>
        <v>DA+6</v>
      </c>
      <c r="D146" s="703" t="s">
        <v>1345</v>
      </c>
      <c r="E146" s="714">
        <v>45903</v>
      </c>
      <c r="F146" s="704">
        <v>45986</v>
      </c>
      <c r="G146" s="704">
        <v>45986</v>
      </c>
      <c r="H146" s="705">
        <f t="shared" si="11"/>
        <v>83</v>
      </c>
      <c r="I146" s="735" t="s">
        <v>1570</v>
      </c>
      <c r="J146" s="705" t="s">
        <v>665</v>
      </c>
      <c r="K146" s="715"/>
      <c r="L146" s="716"/>
      <c r="M146" s="716"/>
      <c r="N146" s="716"/>
    </row>
    <row r="147" spans="1:14" s="722" customFormat="1" ht="27.75" customHeight="1">
      <c r="A147" s="700">
        <f t="shared" si="8"/>
        <v>144</v>
      </c>
      <c r="B147" s="706" t="s">
        <v>12</v>
      </c>
      <c r="C147" s="702" t="str">
        <f>VLOOKUP(B147,'Location Summary'!$C$4:$D$603,2,FALSE)</f>
        <v>DC2+0</v>
      </c>
      <c r="D147" s="703" t="s">
        <v>1345</v>
      </c>
      <c r="E147" s="714">
        <v>45903</v>
      </c>
      <c r="F147" s="704">
        <v>46059</v>
      </c>
      <c r="G147" s="704">
        <v>46124</v>
      </c>
      <c r="H147" s="705">
        <f t="shared" si="11"/>
        <v>221</v>
      </c>
      <c r="I147" s="735" t="s">
        <v>1573</v>
      </c>
      <c r="J147" s="705" t="s">
        <v>665</v>
      </c>
      <c r="K147" s="715"/>
      <c r="L147" s="716"/>
      <c r="M147" s="716"/>
      <c r="N147" s="716"/>
    </row>
    <row r="148" spans="1:14" s="722" customFormat="1" ht="27.75" customHeight="1">
      <c r="A148" s="700">
        <f t="shared" si="8"/>
        <v>145</v>
      </c>
      <c r="B148" s="706" t="s">
        <v>181</v>
      </c>
      <c r="C148" s="702" t="str">
        <f>VLOOKUP(B148,'Location Summary'!$C$4:$D$603,2,FALSE)</f>
        <v>DA+6</v>
      </c>
      <c r="D148" s="703" t="s">
        <v>1345</v>
      </c>
      <c r="E148" s="714">
        <v>45912</v>
      </c>
      <c r="F148" s="704">
        <v>45980</v>
      </c>
      <c r="G148" s="704">
        <v>45980</v>
      </c>
      <c r="H148" s="705">
        <f t="shared" si="11"/>
        <v>68</v>
      </c>
      <c r="I148" s="735" t="s">
        <v>1568</v>
      </c>
      <c r="J148" s="705" t="s">
        <v>665</v>
      </c>
      <c r="K148" s="715"/>
      <c r="L148" s="716"/>
      <c r="M148" s="716"/>
      <c r="N148" s="716"/>
    </row>
    <row r="149" spans="1:14" s="722" customFormat="1" ht="27.75" customHeight="1">
      <c r="A149" s="700">
        <f t="shared" si="8"/>
        <v>146</v>
      </c>
      <c r="B149" s="706" t="s">
        <v>676</v>
      </c>
      <c r="C149" s="702" t="str">
        <f>VLOOKUP(B149,'Location Summary'!$C$4:$D$603,2,FALSE)</f>
        <v>DB1+9</v>
      </c>
      <c r="D149" s="703" t="s">
        <v>1345</v>
      </c>
      <c r="E149" s="714">
        <v>45912</v>
      </c>
      <c r="F149" s="704">
        <v>45975</v>
      </c>
      <c r="G149" s="704">
        <v>45975</v>
      </c>
      <c r="H149" s="705">
        <f t="shared" ref="H149:H155" si="12">G149-E149</f>
        <v>63</v>
      </c>
      <c r="I149" s="735" t="s">
        <v>1543</v>
      </c>
      <c r="J149" s="705" t="s">
        <v>665</v>
      </c>
      <c r="K149" s="715"/>
      <c r="L149" s="716"/>
      <c r="M149" s="716"/>
      <c r="N149" s="716"/>
    </row>
    <row r="150" spans="1:14" s="722" customFormat="1" ht="27.75" customHeight="1">
      <c r="A150" s="700">
        <f t="shared" si="8"/>
        <v>147</v>
      </c>
      <c r="B150" s="706" t="s">
        <v>61</v>
      </c>
      <c r="C150" s="702" t="str">
        <f>VLOOKUP(B150,'Location Summary'!$C$4:$D$603,2,FALSE)</f>
        <v>DA+9</v>
      </c>
      <c r="D150" s="703" t="s">
        <v>1345</v>
      </c>
      <c r="E150" s="714">
        <v>45903</v>
      </c>
      <c r="F150" s="704">
        <v>45977</v>
      </c>
      <c r="G150" s="704">
        <v>45995</v>
      </c>
      <c r="H150" s="705">
        <f t="shared" si="12"/>
        <v>92</v>
      </c>
      <c r="I150" s="735" t="s">
        <v>1543</v>
      </c>
      <c r="J150" s="705" t="s">
        <v>665</v>
      </c>
      <c r="K150" s="715"/>
      <c r="L150" s="716"/>
      <c r="M150" s="716"/>
      <c r="N150" s="716"/>
    </row>
    <row r="151" spans="1:14" s="722" customFormat="1" ht="29">
      <c r="A151" s="700">
        <f t="shared" si="8"/>
        <v>148</v>
      </c>
      <c r="B151" s="706" t="s">
        <v>62</v>
      </c>
      <c r="C151" s="702" t="str">
        <f>VLOOKUP(B151,'Location Summary'!$C$4:$D$603,2,FALSE)</f>
        <v>DA-1.5</v>
      </c>
      <c r="D151" s="703" t="s">
        <v>1345</v>
      </c>
      <c r="E151" s="714">
        <v>45903</v>
      </c>
      <c r="F151" s="704">
        <v>45981</v>
      </c>
      <c r="G151" s="704">
        <v>45981</v>
      </c>
      <c r="H151" s="705">
        <f t="shared" si="12"/>
        <v>78</v>
      </c>
      <c r="I151" s="735" t="s">
        <v>1571</v>
      </c>
      <c r="J151" s="705" t="s">
        <v>665</v>
      </c>
      <c r="K151" s="715"/>
      <c r="L151" s="716"/>
      <c r="M151" s="716"/>
      <c r="N151" s="716"/>
    </row>
    <row r="152" spans="1:14" s="722" customFormat="1" ht="27.75" customHeight="1">
      <c r="A152" s="700">
        <f t="shared" si="8"/>
        <v>149</v>
      </c>
      <c r="B152" s="706" t="s">
        <v>153</v>
      </c>
      <c r="C152" s="702" t="str">
        <f>VLOOKUP(B152,'Location Summary'!$C$4:$D$603,2,FALSE)</f>
        <v>DA+1.5</v>
      </c>
      <c r="D152" s="703" t="s">
        <v>1345</v>
      </c>
      <c r="E152" s="714">
        <v>45903</v>
      </c>
      <c r="F152" s="704">
        <v>45977</v>
      </c>
      <c r="G152" s="704">
        <v>45988</v>
      </c>
      <c r="H152" s="705">
        <f t="shared" si="12"/>
        <v>85</v>
      </c>
      <c r="I152" s="735" t="s">
        <v>1543</v>
      </c>
      <c r="J152" s="705" t="s">
        <v>665</v>
      </c>
      <c r="K152" s="715"/>
      <c r="L152" s="716"/>
      <c r="M152" s="716"/>
      <c r="N152" s="716"/>
    </row>
    <row r="153" spans="1:14" s="722" customFormat="1" ht="27.75" customHeight="1">
      <c r="A153" s="700">
        <f t="shared" si="8"/>
        <v>150</v>
      </c>
      <c r="B153" s="706" t="s">
        <v>433</v>
      </c>
      <c r="C153" s="702" t="str">
        <f>VLOOKUP(B153,'Location Summary'!$C$4:$D$603,2,FALSE)</f>
        <v>DA+0</v>
      </c>
      <c r="D153" s="703" t="s">
        <v>1345</v>
      </c>
      <c r="E153" s="714">
        <v>45903</v>
      </c>
      <c r="F153" s="704">
        <v>46001</v>
      </c>
      <c r="G153" s="704">
        <v>46001</v>
      </c>
      <c r="H153" s="705">
        <f t="shared" si="12"/>
        <v>98</v>
      </c>
      <c r="I153" s="735" t="s">
        <v>1560</v>
      </c>
      <c r="J153" s="705" t="s">
        <v>665</v>
      </c>
      <c r="K153" s="715"/>
      <c r="L153" s="716"/>
      <c r="M153" s="716"/>
      <c r="N153" s="716"/>
    </row>
    <row r="154" spans="1:14" s="722" customFormat="1" ht="27.75" customHeight="1">
      <c r="A154" s="700">
        <f t="shared" si="8"/>
        <v>151</v>
      </c>
      <c r="B154" s="706" t="s">
        <v>903</v>
      </c>
      <c r="C154" s="702" t="str">
        <f>VLOOKUP(B154,'Location Summary'!$C$4:$D$603,2,FALSE)</f>
        <v>DA+6</v>
      </c>
      <c r="D154" s="703" t="s">
        <v>1345</v>
      </c>
      <c r="E154" s="714">
        <v>45903</v>
      </c>
      <c r="F154" s="704">
        <v>45986</v>
      </c>
      <c r="G154" s="704">
        <v>45986</v>
      </c>
      <c r="H154" s="705">
        <f t="shared" si="12"/>
        <v>83</v>
      </c>
      <c r="I154" s="735" t="s">
        <v>1561</v>
      </c>
      <c r="J154" s="705" t="s">
        <v>665</v>
      </c>
      <c r="K154" s="715"/>
      <c r="L154" s="716"/>
      <c r="M154" s="716"/>
      <c r="N154" s="716"/>
    </row>
    <row r="155" spans="1:14" s="722" customFormat="1" ht="27.75" customHeight="1">
      <c r="A155" s="700">
        <f t="shared" si="8"/>
        <v>152</v>
      </c>
      <c r="B155" s="706" t="s">
        <v>440</v>
      </c>
      <c r="C155" s="702" t="str">
        <f>VLOOKUP(B155,'Location Summary'!$C$4:$D$603,2,FALSE)</f>
        <v>DA+0</v>
      </c>
      <c r="D155" s="703" t="s">
        <v>1345</v>
      </c>
      <c r="E155" s="714">
        <v>45927</v>
      </c>
      <c r="F155" s="704" t="s">
        <v>1600</v>
      </c>
      <c r="G155" s="704" t="s">
        <v>1600</v>
      </c>
      <c r="H155" s="705">
        <f t="shared" si="12"/>
        <v>84</v>
      </c>
      <c r="I155" s="735" t="s">
        <v>1561</v>
      </c>
      <c r="J155" s="705" t="s">
        <v>665</v>
      </c>
      <c r="K155" s="715"/>
      <c r="L155" s="716"/>
      <c r="M155" s="716"/>
      <c r="N155" s="716"/>
    </row>
    <row r="156" spans="1:14" s="722" customFormat="1" ht="27.75" customHeight="1">
      <c r="A156" s="700">
        <f t="shared" si="8"/>
        <v>153</v>
      </c>
      <c r="B156" s="706" t="s">
        <v>78</v>
      </c>
      <c r="C156" s="702" t="str">
        <f>VLOOKUP(B156,'Location Summary'!$C$4:$D$603,2,FALSE)</f>
        <v>DB1+0</v>
      </c>
      <c r="D156" s="703" t="s">
        <v>1345</v>
      </c>
      <c r="E156" s="714">
        <v>45872</v>
      </c>
      <c r="F156" s="704">
        <v>45989</v>
      </c>
      <c r="G156" s="704">
        <v>45989</v>
      </c>
      <c r="H156" s="705">
        <f t="shared" ref="H156:H169" si="13">G156-E156</f>
        <v>117</v>
      </c>
      <c r="I156" s="735" t="s">
        <v>1572</v>
      </c>
      <c r="J156" s="705" t="s">
        <v>665</v>
      </c>
      <c r="K156" s="715"/>
      <c r="L156" s="716"/>
      <c r="M156" s="716"/>
      <c r="N156" s="716"/>
    </row>
    <row r="157" spans="1:14" s="722" customFormat="1" ht="27.75" customHeight="1">
      <c r="A157" s="700">
        <f t="shared" si="8"/>
        <v>154</v>
      </c>
      <c r="B157" s="706" t="s">
        <v>644</v>
      </c>
      <c r="C157" s="702" t="str">
        <f>VLOOKUP(B157,'Location Summary'!$C$4:$D$603,2,FALSE)</f>
        <v>DA-1.5</v>
      </c>
      <c r="D157" s="703" t="s">
        <v>1345</v>
      </c>
      <c r="E157" s="714">
        <v>45872</v>
      </c>
      <c r="F157" s="704">
        <v>45989</v>
      </c>
      <c r="G157" s="704">
        <v>45989</v>
      </c>
      <c r="H157" s="705">
        <f t="shared" si="13"/>
        <v>117</v>
      </c>
      <c r="I157" s="735" t="s">
        <v>1572</v>
      </c>
      <c r="J157" s="705" t="s">
        <v>665</v>
      </c>
      <c r="K157" s="715"/>
      <c r="L157" s="716"/>
      <c r="M157" s="716"/>
      <c r="N157" s="716"/>
    </row>
    <row r="158" spans="1:14" s="722" customFormat="1" ht="27.75" customHeight="1">
      <c r="A158" s="700">
        <f t="shared" si="8"/>
        <v>155</v>
      </c>
      <c r="B158" s="706" t="s">
        <v>165</v>
      </c>
      <c r="C158" s="702" t="str">
        <f>VLOOKUP(B158,'Location Summary'!$C$4:$D$603,2,FALSE)</f>
        <v>DA+9</v>
      </c>
      <c r="D158" s="703" t="s">
        <v>1229</v>
      </c>
      <c r="E158" s="714">
        <v>45963</v>
      </c>
      <c r="F158" s="704">
        <v>45979</v>
      </c>
      <c r="G158" s="704">
        <v>45979</v>
      </c>
      <c r="H158" s="705">
        <f t="shared" si="13"/>
        <v>16</v>
      </c>
      <c r="I158" s="735" t="s">
        <v>992</v>
      </c>
      <c r="J158" s="705" t="s">
        <v>665</v>
      </c>
      <c r="K158" s="715"/>
      <c r="L158" s="716"/>
      <c r="M158" s="716"/>
      <c r="N158" s="716"/>
    </row>
    <row r="159" spans="1:14" s="722" customFormat="1" ht="27.75" customHeight="1">
      <c r="A159" s="700">
        <f t="shared" si="8"/>
        <v>156</v>
      </c>
      <c r="B159" s="706" t="s">
        <v>571</v>
      </c>
      <c r="C159" s="702" t="str">
        <f>VLOOKUP(B159,'Location Summary'!$C$4:$D$603,2,FALSE)</f>
        <v>DA+0</v>
      </c>
      <c r="D159" s="703" t="s">
        <v>1229</v>
      </c>
      <c r="E159" s="714">
        <v>45963</v>
      </c>
      <c r="F159" s="704">
        <v>45975</v>
      </c>
      <c r="G159" s="704">
        <v>46025</v>
      </c>
      <c r="H159" s="705">
        <f t="shared" si="13"/>
        <v>62</v>
      </c>
      <c r="I159" s="735" t="s">
        <v>992</v>
      </c>
      <c r="J159" s="705" t="s">
        <v>665</v>
      </c>
      <c r="K159" s="715"/>
      <c r="L159" s="716"/>
      <c r="M159" s="716"/>
      <c r="N159" s="716"/>
    </row>
    <row r="160" spans="1:14" s="722" customFormat="1" ht="27.75" customHeight="1">
      <c r="A160" s="700">
        <f t="shared" si="8"/>
        <v>157</v>
      </c>
      <c r="B160" s="706" t="s">
        <v>776</v>
      </c>
      <c r="C160" s="702" t="str">
        <f>VLOOKUP(B160,'Location Summary'!$C$4:$D$603,2,FALSE)</f>
        <v>DA+6</v>
      </c>
      <c r="D160" s="703" t="s">
        <v>1229</v>
      </c>
      <c r="E160" s="714">
        <v>45963</v>
      </c>
      <c r="F160" s="704">
        <v>46021</v>
      </c>
      <c r="G160" s="704">
        <v>46021</v>
      </c>
      <c r="H160" s="705">
        <f t="shared" si="13"/>
        <v>58</v>
      </c>
      <c r="I160" s="735" t="s">
        <v>992</v>
      </c>
      <c r="J160" s="705" t="s">
        <v>665</v>
      </c>
      <c r="K160" s="715"/>
      <c r="L160" s="716"/>
      <c r="M160" s="716"/>
      <c r="N160" s="716"/>
    </row>
    <row r="161" spans="1:14" ht="29">
      <c r="A161" s="700">
        <f t="shared" si="8"/>
        <v>158</v>
      </c>
      <c r="B161" s="1114" t="s">
        <v>1637</v>
      </c>
      <c r="C161" s="702" t="s">
        <v>430</v>
      </c>
      <c r="D161" s="1150" t="s">
        <v>99</v>
      </c>
      <c r="E161" s="1116">
        <v>46015</v>
      </c>
      <c r="F161" s="704">
        <v>46021</v>
      </c>
      <c r="G161" s="704">
        <v>46021</v>
      </c>
      <c r="H161" s="705">
        <f t="shared" si="13"/>
        <v>6</v>
      </c>
      <c r="I161" s="1117" t="s">
        <v>1601</v>
      </c>
      <c r="J161" s="1152" t="s">
        <v>665</v>
      </c>
      <c r="K161" s="1115"/>
      <c r="L161" s="1113"/>
      <c r="M161" s="1113"/>
      <c r="N161" s="1113"/>
    </row>
    <row r="162" spans="1:14" ht="29">
      <c r="A162" s="700">
        <f t="shared" si="8"/>
        <v>159</v>
      </c>
      <c r="B162" s="1114" t="s">
        <v>1636</v>
      </c>
      <c r="C162" s="702" t="s">
        <v>215</v>
      </c>
      <c r="D162" s="1150" t="s">
        <v>99</v>
      </c>
      <c r="E162" s="1116">
        <v>46056</v>
      </c>
      <c r="F162" s="1151">
        <v>46063</v>
      </c>
      <c r="G162" s="1116">
        <v>46063</v>
      </c>
      <c r="H162" s="1152">
        <f t="shared" si="13"/>
        <v>7</v>
      </c>
      <c r="I162" s="637" t="s">
        <v>1632</v>
      </c>
      <c r="J162" s="1152" t="s">
        <v>665</v>
      </c>
      <c r="K162" s="1115"/>
      <c r="L162" s="1113"/>
      <c r="M162" s="1113"/>
      <c r="N162" s="1113"/>
    </row>
    <row r="163" spans="1:14" ht="29">
      <c r="A163" s="700">
        <f t="shared" si="8"/>
        <v>160</v>
      </c>
      <c r="B163" s="1153" t="s">
        <v>599</v>
      </c>
      <c r="C163" s="702" t="str">
        <f>VLOOKUP(B163,'Location Summary'!$C$4:$D$603,2,FALSE)</f>
        <v>DA+3</v>
      </c>
      <c r="D163" s="1150" t="s">
        <v>1345</v>
      </c>
      <c r="E163" s="1116">
        <v>46058</v>
      </c>
      <c r="F163" s="1151">
        <v>46063</v>
      </c>
      <c r="G163" s="1116">
        <v>46063</v>
      </c>
      <c r="H163" s="1152">
        <f t="shared" si="13"/>
        <v>5</v>
      </c>
      <c r="I163" s="637" t="s">
        <v>1633</v>
      </c>
      <c r="J163" s="1152" t="s">
        <v>665</v>
      </c>
      <c r="K163" s="1115"/>
      <c r="L163" s="1113"/>
      <c r="M163" s="1113"/>
      <c r="N163" s="1113"/>
    </row>
    <row r="164" spans="1:14" ht="29">
      <c r="A164" s="700">
        <f t="shared" si="8"/>
        <v>161</v>
      </c>
      <c r="B164" s="1114" t="s">
        <v>1258</v>
      </c>
      <c r="C164" s="702" t="str">
        <f>VLOOKUP(B164,'Location Summary'!$C$4:$D$603,2,FALSE)</f>
        <v>DD45+3</v>
      </c>
      <c r="D164" s="1150" t="s">
        <v>1229</v>
      </c>
      <c r="E164" s="1116">
        <v>46057</v>
      </c>
      <c r="F164" s="1151">
        <v>46062</v>
      </c>
      <c r="G164" s="1116">
        <v>46062</v>
      </c>
      <c r="H164" s="1152">
        <f t="shared" si="13"/>
        <v>5</v>
      </c>
      <c r="I164" s="637" t="s">
        <v>1631</v>
      </c>
      <c r="J164" s="1152" t="s">
        <v>665</v>
      </c>
      <c r="K164" s="1115"/>
      <c r="L164" s="1113"/>
      <c r="M164" s="1113"/>
      <c r="N164" s="1113"/>
    </row>
    <row r="165" spans="1:14" ht="29">
      <c r="A165" s="700">
        <f t="shared" si="8"/>
        <v>162</v>
      </c>
      <c r="B165" s="1114" t="s">
        <v>1265</v>
      </c>
      <c r="C165" s="702" t="str">
        <f>VLOOKUP(B165,'Location Summary'!$C$4:$D$603,2,FALSE)</f>
        <v>DB1+9</v>
      </c>
      <c r="D165" s="1150" t="s">
        <v>1229</v>
      </c>
      <c r="E165" s="1116">
        <v>46057</v>
      </c>
      <c r="F165" s="1151">
        <v>46061</v>
      </c>
      <c r="G165" s="1116">
        <v>46061</v>
      </c>
      <c r="H165" s="1152">
        <f t="shared" si="13"/>
        <v>4</v>
      </c>
      <c r="I165" s="637" t="s">
        <v>1631</v>
      </c>
      <c r="J165" s="1152" t="s">
        <v>665</v>
      </c>
      <c r="K165" s="1115"/>
      <c r="L165" s="1113"/>
      <c r="M165" s="1113"/>
      <c r="N165" s="1113"/>
    </row>
    <row r="166" spans="1:14" ht="43.5">
      <c r="A166" s="700">
        <f t="shared" si="8"/>
        <v>163</v>
      </c>
      <c r="B166" s="1114" t="s">
        <v>78</v>
      </c>
      <c r="C166" s="702" t="str">
        <f>VLOOKUP(B166,'Location Summary'!$C$4:$D$603,2,FALSE)</f>
        <v>DB1+0</v>
      </c>
      <c r="D166" s="1150" t="s">
        <v>1345</v>
      </c>
      <c r="E166" s="1116">
        <v>46060</v>
      </c>
      <c r="F166" s="1116">
        <v>46063</v>
      </c>
      <c r="G166" s="1116">
        <v>46063</v>
      </c>
      <c r="H166" s="1152">
        <f t="shared" si="13"/>
        <v>3</v>
      </c>
      <c r="I166" s="637" t="s">
        <v>1635</v>
      </c>
      <c r="J166" s="1152" t="s">
        <v>665</v>
      </c>
      <c r="K166" s="1115"/>
      <c r="L166" s="1113"/>
      <c r="M166" s="1113"/>
      <c r="N166" s="1113"/>
    </row>
    <row r="167" spans="1:14" ht="21.75" customHeight="1">
      <c r="A167" s="700">
        <f t="shared" si="8"/>
        <v>164</v>
      </c>
      <c r="B167" s="1153" t="s">
        <v>451</v>
      </c>
      <c r="C167" s="702" t="str">
        <f>VLOOKUP(B167,'Location Summary'!$C$4:$D$603,2,FALSE)</f>
        <v>DA+1.5</v>
      </c>
      <c r="D167" s="1150" t="s">
        <v>1229</v>
      </c>
      <c r="E167" s="1116">
        <v>46057</v>
      </c>
      <c r="F167" s="1116">
        <v>46062</v>
      </c>
      <c r="G167" s="1116">
        <v>46062</v>
      </c>
      <c r="H167" s="1152">
        <f t="shared" si="13"/>
        <v>5</v>
      </c>
      <c r="I167" s="637" t="s">
        <v>1638</v>
      </c>
      <c r="J167" s="1152" t="s">
        <v>665</v>
      </c>
      <c r="K167" s="1115"/>
      <c r="L167" s="1113"/>
      <c r="M167" s="1113"/>
      <c r="N167" s="1113"/>
    </row>
    <row r="168" spans="1:14" ht="35.25" customHeight="1">
      <c r="A168" s="700">
        <f t="shared" si="8"/>
        <v>165</v>
      </c>
      <c r="B168" s="1153" t="s">
        <v>572</v>
      </c>
      <c r="C168" s="702" t="str">
        <f>VLOOKUP(B168,'Location Summary'!$C$4:$D$603,2,FALSE)</f>
        <v>DA+6</v>
      </c>
      <c r="D168" s="1150" t="s">
        <v>1229</v>
      </c>
      <c r="E168" s="1116">
        <v>46047</v>
      </c>
      <c r="F168" s="1116">
        <v>46077</v>
      </c>
      <c r="G168" s="1116">
        <v>46077</v>
      </c>
      <c r="H168" s="1152">
        <f t="shared" si="13"/>
        <v>30</v>
      </c>
      <c r="I168" s="637" t="s">
        <v>1634</v>
      </c>
      <c r="J168" s="1152" t="s">
        <v>665</v>
      </c>
      <c r="K168" s="1115"/>
      <c r="L168" s="1113"/>
      <c r="M168" s="1113"/>
      <c r="N168" s="1113"/>
    </row>
    <row r="169" spans="1:14" ht="35.25" customHeight="1">
      <c r="A169" s="700">
        <f t="shared" si="8"/>
        <v>166</v>
      </c>
      <c r="B169" s="1153" t="s">
        <v>573</v>
      </c>
      <c r="C169" s="702" t="str">
        <f>VLOOKUP(B169,'Location Summary'!$C$4:$D$603,2,FALSE)</f>
        <v>DA+6</v>
      </c>
      <c r="D169" s="1150" t="s">
        <v>1229</v>
      </c>
      <c r="E169" s="1116">
        <v>46047</v>
      </c>
      <c r="F169" s="1116">
        <v>46075</v>
      </c>
      <c r="G169" s="1116">
        <v>46075</v>
      </c>
      <c r="H169" s="1152">
        <f t="shared" si="13"/>
        <v>28</v>
      </c>
      <c r="I169" s="637" t="s">
        <v>1634</v>
      </c>
      <c r="J169" s="1152" t="s">
        <v>665</v>
      </c>
      <c r="K169" s="1115"/>
      <c r="L169" s="1113"/>
      <c r="M169" s="1113"/>
      <c r="N169" s="1113"/>
    </row>
    <row r="170" spans="1:14" ht="35.25" customHeight="1">
      <c r="A170" s="700">
        <f t="shared" si="8"/>
        <v>167</v>
      </c>
      <c r="B170" s="1153" t="s">
        <v>1259</v>
      </c>
      <c r="C170" s="702" t="str">
        <f>VLOOKUP(B170,'Location Summary'!$C$4:$D$603,2,FALSE)</f>
        <v>DA+3</v>
      </c>
      <c r="D170" s="1150" t="s">
        <v>1229</v>
      </c>
      <c r="E170" s="1116">
        <v>46064</v>
      </c>
      <c r="F170" s="1116">
        <v>46065</v>
      </c>
      <c r="G170" s="1116">
        <v>46065</v>
      </c>
      <c r="H170" s="1152">
        <f>G170-E170</f>
        <v>1</v>
      </c>
      <c r="I170" s="637" t="s">
        <v>1641</v>
      </c>
      <c r="J170" s="1152" t="s">
        <v>665</v>
      </c>
      <c r="K170" s="21" t="s">
        <v>1639</v>
      </c>
      <c r="L170" s="1152">
        <v>9929888158</v>
      </c>
      <c r="M170" s="1152" t="s">
        <v>1640</v>
      </c>
      <c r="N170" s="1152" t="s">
        <v>1642</v>
      </c>
    </row>
    <row r="171" spans="1:14" ht="33" customHeight="1">
      <c r="A171" s="700">
        <f t="shared" si="8"/>
        <v>168</v>
      </c>
      <c r="B171" s="1153" t="s">
        <v>1260</v>
      </c>
      <c r="C171" s="702" t="str">
        <f>VLOOKUP(B171,'Location Summary'!$C$4:$D$603,2,FALSE)</f>
        <v>DA+3</v>
      </c>
      <c r="D171" s="1150" t="s">
        <v>1229</v>
      </c>
      <c r="E171" s="1116">
        <v>46064</v>
      </c>
      <c r="F171" s="1116">
        <v>46065</v>
      </c>
      <c r="G171" s="1116">
        <v>46065</v>
      </c>
      <c r="H171" s="1152">
        <f>G171-E171</f>
        <v>1</v>
      </c>
      <c r="I171" s="637" t="s">
        <v>1641</v>
      </c>
      <c r="J171" s="1152" t="s">
        <v>665</v>
      </c>
      <c r="K171" s="21" t="s">
        <v>1639</v>
      </c>
      <c r="L171" s="1152">
        <v>9929888158</v>
      </c>
      <c r="M171" s="1152" t="s">
        <v>1640</v>
      </c>
      <c r="N171" s="1152" t="s">
        <v>1642</v>
      </c>
    </row>
    <row r="172" spans="1:14" s="1215" customFormat="1" ht="33" customHeight="1">
      <c r="A172" s="1207">
        <f t="shared" si="8"/>
        <v>169</v>
      </c>
      <c r="B172" s="1208" t="s">
        <v>206</v>
      </c>
      <c r="C172" s="1209" t="str">
        <f>VLOOKUP(B172,'Location Summary'!$C$4:$D$603,2,FALSE)</f>
        <v>DA+9</v>
      </c>
      <c r="D172" s="1210" t="s">
        <v>1643</v>
      </c>
      <c r="E172" s="1211">
        <v>46060</v>
      </c>
      <c r="F172" s="1211"/>
      <c r="G172" s="1211"/>
      <c r="H172" s="1212"/>
      <c r="I172" s="1213" t="s">
        <v>1641</v>
      </c>
      <c r="J172" s="1212"/>
      <c r="K172" s="1214"/>
      <c r="L172" s="1212"/>
      <c r="M172" s="1212"/>
      <c r="N172" s="1212"/>
    </row>
    <row r="173" spans="1:14" s="1215" customFormat="1" ht="33" customHeight="1">
      <c r="A173" s="1207">
        <f t="shared" si="8"/>
        <v>170</v>
      </c>
      <c r="B173" s="1208" t="s">
        <v>635</v>
      </c>
      <c r="C173" s="1209" t="str">
        <f>VLOOKUP(B173,'Location Summary'!$C$4:$D$603,2,FALSE)</f>
        <v>DA-1.5</v>
      </c>
      <c r="D173" s="1210" t="s">
        <v>1643</v>
      </c>
      <c r="E173" s="1211">
        <v>46060</v>
      </c>
      <c r="F173" s="1211"/>
      <c r="G173" s="1211"/>
      <c r="H173" s="1212"/>
      <c r="I173" s="1213" t="s">
        <v>1641</v>
      </c>
      <c r="J173" s="1212"/>
      <c r="K173" s="1214"/>
      <c r="L173" s="1212"/>
      <c r="M173" s="1212"/>
      <c r="N173" s="1212"/>
    </row>
    <row r="174" spans="1:14" s="1215" customFormat="1" ht="33" customHeight="1">
      <c r="A174" s="1207">
        <f t="shared" si="8"/>
        <v>171</v>
      </c>
      <c r="B174" s="1208" t="s">
        <v>640</v>
      </c>
      <c r="C174" s="1209" t="str">
        <f>VLOOKUP(B174,'Location Summary'!$C$4:$D$603,2,FALSE)</f>
        <v>DB1+9</v>
      </c>
      <c r="D174" s="1210" t="s">
        <v>1643</v>
      </c>
      <c r="E174" s="1211">
        <v>46060</v>
      </c>
      <c r="F174" s="1211"/>
      <c r="G174" s="1211"/>
      <c r="H174" s="1212"/>
      <c r="I174" s="1213" t="s">
        <v>1641</v>
      </c>
      <c r="J174" s="1212"/>
      <c r="K174" s="1214"/>
      <c r="L174" s="1212"/>
      <c r="M174" s="1212"/>
      <c r="N174" s="1212"/>
    </row>
    <row r="175" spans="1:14" s="1215" customFormat="1" ht="33" customHeight="1">
      <c r="A175" s="1207">
        <f t="shared" si="8"/>
        <v>172</v>
      </c>
      <c r="B175" s="1208" t="s">
        <v>637</v>
      </c>
      <c r="C175" s="1209" t="str">
        <f>VLOOKUP(B175,'Location Summary'!$C$4:$D$603,2,FALSE)</f>
        <v>DA+3</v>
      </c>
      <c r="D175" s="1210" t="s">
        <v>1643</v>
      </c>
      <c r="E175" s="1211">
        <v>46060</v>
      </c>
      <c r="F175" s="1211"/>
      <c r="G175" s="1211"/>
      <c r="H175" s="1212"/>
      <c r="I175" s="1213" t="s">
        <v>1641</v>
      </c>
      <c r="J175" s="1212"/>
      <c r="K175" s="1214"/>
      <c r="L175" s="1212"/>
      <c r="M175" s="1212"/>
      <c r="N175" s="1212"/>
    </row>
    <row r="176" spans="1:14" s="1215" customFormat="1" ht="33" customHeight="1">
      <c r="A176" s="1207">
        <f t="shared" si="8"/>
        <v>173</v>
      </c>
      <c r="B176" s="1208" t="s">
        <v>422</v>
      </c>
      <c r="C176" s="1209" t="str">
        <f>VLOOKUP(B176,'Location Summary'!$C$4:$D$603,2,FALSE)</f>
        <v>DA+0</v>
      </c>
      <c r="D176" s="1210" t="s">
        <v>1643</v>
      </c>
      <c r="E176" s="1211">
        <v>46060</v>
      </c>
      <c r="F176" s="1211"/>
      <c r="G176" s="1211"/>
      <c r="H176" s="1212"/>
      <c r="I176" s="1213" t="s">
        <v>1641</v>
      </c>
      <c r="J176" s="1212"/>
      <c r="K176" s="1214"/>
      <c r="L176" s="1212"/>
      <c r="M176" s="1212"/>
      <c r="N176" s="1212"/>
    </row>
    <row r="177" spans="1:14" ht="33" customHeight="1">
      <c r="A177" s="707">
        <f t="shared" si="8"/>
        <v>174</v>
      </c>
      <c r="B177" s="1216" t="s">
        <v>267</v>
      </c>
      <c r="C177" s="702" t="str">
        <f>VLOOKUP(B177,'Location Summary'!$C$4:$D$603,2,FALSE)</f>
        <v>DD60+9</v>
      </c>
      <c r="D177" s="1217" t="s">
        <v>1643</v>
      </c>
      <c r="E177" s="1116">
        <v>46063</v>
      </c>
      <c r="F177" s="1116">
        <v>46098</v>
      </c>
      <c r="G177" s="1116">
        <v>46098</v>
      </c>
      <c r="H177" s="1152">
        <f t="shared" ref="H177:H189" si="14">G177-E177</f>
        <v>35</v>
      </c>
      <c r="I177" s="637" t="s">
        <v>1641</v>
      </c>
      <c r="J177" s="1152" t="s">
        <v>665</v>
      </c>
      <c r="K177" s="21"/>
      <c r="L177" s="1152"/>
      <c r="M177" s="1152"/>
      <c r="N177" s="1152"/>
    </row>
    <row r="178" spans="1:14" ht="33" customHeight="1">
      <c r="A178" s="707">
        <f t="shared" si="8"/>
        <v>175</v>
      </c>
      <c r="B178" s="1216" t="s">
        <v>267</v>
      </c>
      <c r="C178" s="702" t="str">
        <f>VLOOKUP(B178,'Location Summary'!$C$4:$D$603,2,FALSE)</f>
        <v>DD60+9</v>
      </c>
      <c r="D178" s="1217" t="s">
        <v>1229</v>
      </c>
      <c r="E178" s="1116">
        <v>46103</v>
      </c>
      <c r="F178" s="1116"/>
      <c r="G178" s="1116">
        <v>46108</v>
      </c>
      <c r="H178" s="1152">
        <f t="shared" si="14"/>
        <v>5</v>
      </c>
      <c r="I178" s="637" t="s">
        <v>1641</v>
      </c>
      <c r="J178" s="1152" t="s">
        <v>665</v>
      </c>
      <c r="K178" s="21"/>
      <c r="L178" s="1152"/>
      <c r="M178" s="1152"/>
      <c r="N178" s="1152"/>
    </row>
    <row r="179" spans="1:14" ht="33" customHeight="1">
      <c r="A179" s="707">
        <f t="shared" si="8"/>
        <v>176</v>
      </c>
      <c r="B179" s="1216" t="s">
        <v>485</v>
      </c>
      <c r="C179" s="702" t="str">
        <f>VLOOKUP(B179,'Location Summary'!$C$4:$D$603,2,FALSE)</f>
        <v>DB1+9</v>
      </c>
      <c r="D179" s="1217" t="s">
        <v>1229</v>
      </c>
      <c r="E179" s="1116">
        <v>46064</v>
      </c>
      <c r="F179" s="1116">
        <v>46108</v>
      </c>
      <c r="G179" s="1116">
        <v>46108</v>
      </c>
      <c r="H179" s="1152">
        <f t="shared" si="14"/>
        <v>44</v>
      </c>
      <c r="I179" s="637" t="s">
        <v>1641</v>
      </c>
      <c r="J179" s="1152" t="s">
        <v>665</v>
      </c>
      <c r="K179" s="21"/>
      <c r="L179" s="1152"/>
      <c r="M179" s="1152"/>
      <c r="N179" s="1152"/>
    </row>
    <row r="180" spans="1:14" ht="33" customHeight="1">
      <c r="A180" s="707">
        <f t="shared" si="8"/>
        <v>177</v>
      </c>
      <c r="B180" s="1153" t="s">
        <v>438</v>
      </c>
      <c r="C180" s="702" t="str">
        <f>VLOOKUP(B180,'Location Summary'!$C$4:$D$603,2,FALSE)</f>
        <v>DA+3</v>
      </c>
      <c r="D180" s="1150" t="s">
        <v>1229</v>
      </c>
      <c r="E180" s="1116">
        <v>46071</v>
      </c>
      <c r="F180" s="1116">
        <v>46087</v>
      </c>
      <c r="G180" s="1116">
        <v>46087</v>
      </c>
      <c r="H180" s="1152">
        <f t="shared" si="14"/>
        <v>16</v>
      </c>
      <c r="I180" s="637" t="s">
        <v>1641</v>
      </c>
      <c r="J180" s="1152" t="s">
        <v>665</v>
      </c>
      <c r="K180" s="21"/>
      <c r="L180" s="1152"/>
      <c r="M180" s="1152"/>
      <c r="N180" s="1152"/>
    </row>
    <row r="181" spans="1:14" ht="33" customHeight="1">
      <c r="A181" s="700">
        <f t="shared" si="8"/>
        <v>178</v>
      </c>
      <c r="B181" s="1153" t="s">
        <v>439</v>
      </c>
      <c r="C181" s="702" t="str">
        <f>VLOOKUP(B181,'Location Summary'!$C$4:$D$603,2,FALSE)</f>
        <v>DA+9</v>
      </c>
      <c r="D181" s="1150" t="s">
        <v>1229</v>
      </c>
      <c r="E181" s="1116">
        <v>46071</v>
      </c>
      <c r="F181" s="1116">
        <v>46075</v>
      </c>
      <c r="G181" s="1116">
        <v>46075</v>
      </c>
      <c r="H181" s="1152">
        <f t="shared" si="14"/>
        <v>4</v>
      </c>
      <c r="I181" s="637" t="s">
        <v>1641</v>
      </c>
      <c r="J181" s="1152" t="s">
        <v>665</v>
      </c>
      <c r="K181" s="21"/>
      <c r="L181" s="1152"/>
      <c r="M181" s="1152"/>
      <c r="N181" s="1152"/>
    </row>
    <row r="182" spans="1:14" ht="33" customHeight="1">
      <c r="A182" s="700">
        <f t="shared" si="8"/>
        <v>179</v>
      </c>
      <c r="B182" s="1153" t="s">
        <v>440</v>
      </c>
      <c r="C182" s="702" t="str">
        <f>VLOOKUP(B182,'Location Summary'!$C$4:$D$603,2,FALSE)</f>
        <v>DA+0</v>
      </c>
      <c r="D182" s="1150" t="s">
        <v>1229</v>
      </c>
      <c r="E182" s="1116">
        <v>46071</v>
      </c>
      <c r="F182" s="1116">
        <v>46086</v>
      </c>
      <c r="G182" s="1116">
        <v>46086</v>
      </c>
      <c r="H182" s="1152">
        <f t="shared" si="14"/>
        <v>15</v>
      </c>
      <c r="I182" s="637" t="s">
        <v>1641</v>
      </c>
      <c r="J182" s="1152" t="s">
        <v>665</v>
      </c>
      <c r="K182" s="21"/>
      <c r="L182" s="1152"/>
      <c r="M182" s="1152"/>
      <c r="N182" s="1152"/>
    </row>
    <row r="183" spans="1:14" ht="33" customHeight="1">
      <c r="A183" s="700">
        <f t="shared" si="8"/>
        <v>180</v>
      </c>
      <c r="B183" s="1153" t="s">
        <v>437</v>
      </c>
      <c r="C183" s="702" t="str">
        <f>VLOOKUP(B183,'Location Summary'!$C$4:$D$603,2,FALSE)</f>
        <v>DA+9</v>
      </c>
      <c r="D183" s="1150" t="s">
        <v>1229</v>
      </c>
      <c r="E183" s="1116">
        <v>46071</v>
      </c>
      <c r="F183" s="1116">
        <v>46088</v>
      </c>
      <c r="G183" s="1116">
        <v>46088</v>
      </c>
      <c r="H183" s="1152">
        <f t="shared" si="14"/>
        <v>17</v>
      </c>
      <c r="I183" s="637" t="s">
        <v>1641</v>
      </c>
      <c r="J183" s="1152" t="s">
        <v>665</v>
      </c>
      <c r="K183" s="21"/>
      <c r="L183" s="1152"/>
      <c r="M183" s="1152"/>
      <c r="N183" s="1152"/>
    </row>
    <row r="184" spans="1:14" ht="33" customHeight="1">
      <c r="A184" s="707">
        <f t="shared" si="8"/>
        <v>181</v>
      </c>
      <c r="B184" s="1216" t="s">
        <v>404</v>
      </c>
      <c r="C184" s="702" t="str">
        <f>VLOOKUP(B184,'Location Summary'!$C$4:$D$603,2,FALSE)</f>
        <v>DA+3</v>
      </c>
      <c r="D184" s="1217" t="s">
        <v>1229</v>
      </c>
      <c r="E184" s="1116">
        <v>46065</v>
      </c>
      <c r="F184" s="1116">
        <v>46097</v>
      </c>
      <c r="G184" s="1116">
        <v>46107</v>
      </c>
      <c r="H184" s="1152">
        <f t="shared" si="14"/>
        <v>42</v>
      </c>
      <c r="I184" s="637" t="s">
        <v>1641</v>
      </c>
      <c r="J184" s="1152" t="s">
        <v>665</v>
      </c>
      <c r="K184" s="21"/>
      <c r="L184" s="1152"/>
      <c r="M184" s="1152"/>
      <c r="N184" s="1152"/>
    </row>
    <row r="185" spans="1:14" s="1215" customFormat="1" ht="33" customHeight="1">
      <c r="A185" s="700">
        <f t="shared" si="8"/>
        <v>182</v>
      </c>
      <c r="B185" s="1225" t="s">
        <v>904</v>
      </c>
      <c r="C185" s="1226" t="str">
        <f>VLOOKUP(B185,'Location Summary'!$C$4:$D$603,2,FALSE)</f>
        <v>DA+3</v>
      </c>
      <c r="D185" s="1227" t="s">
        <v>1229</v>
      </c>
      <c r="E185" s="1228">
        <v>46062</v>
      </c>
      <c r="F185" s="1228"/>
      <c r="G185" s="1228"/>
      <c r="H185" s="1229"/>
      <c r="I185" s="1230" t="s">
        <v>1659</v>
      </c>
      <c r="J185" s="1152" t="s">
        <v>665</v>
      </c>
      <c r="K185" s="1214"/>
      <c r="L185" s="1212"/>
      <c r="M185" s="1212"/>
      <c r="N185" s="1212"/>
    </row>
    <row r="186" spans="1:14" s="1232" customFormat="1" ht="43.5" customHeight="1">
      <c r="A186" s="700">
        <f t="shared" si="8"/>
        <v>183</v>
      </c>
      <c r="B186" s="1225" t="s">
        <v>901</v>
      </c>
      <c r="C186" s="1226" t="str">
        <f>VLOOKUP(B186,'Location Summary'!$C$4:$D$603,2,FALSE)</f>
        <v>DA+6</v>
      </c>
      <c r="D186" s="1227" t="s">
        <v>1229</v>
      </c>
      <c r="E186" s="1228">
        <v>46091</v>
      </c>
      <c r="F186" s="1228"/>
      <c r="G186" s="1228">
        <v>46119</v>
      </c>
      <c r="H186" s="1229">
        <f t="shared" si="14"/>
        <v>28</v>
      </c>
      <c r="I186" s="1230" t="s">
        <v>1674</v>
      </c>
      <c r="J186" s="1229" t="s">
        <v>665</v>
      </c>
      <c r="K186" s="1231"/>
      <c r="L186" s="1229"/>
      <c r="M186" s="1229"/>
      <c r="N186" s="1229"/>
    </row>
    <row r="187" spans="1:14" s="1232" customFormat="1" ht="48" customHeight="1">
      <c r="A187" s="700">
        <f t="shared" si="8"/>
        <v>184</v>
      </c>
      <c r="B187" s="1225" t="s">
        <v>902</v>
      </c>
      <c r="C187" s="1226" t="str">
        <f>VLOOKUP(B187,'Location Summary'!$C$4:$D$603,2,FALSE)</f>
        <v>DA+6</v>
      </c>
      <c r="D187" s="1227" t="s">
        <v>1229</v>
      </c>
      <c r="E187" s="1228">
        <v>46091</v>
      </c>
      <c r="F187" s="1228"/>
      <c r="G187" s="1228">
        <v>46119</v>
      </c>
      <c r="H187" s="1229">
        <f t="shared" si="14"/>
        <v>28</v>
      </c>
      <c r="I187" s="1230" t="s">
        <v>1674</v>
      </c>
      <c r="J187" s="1229" t="s">
        <v>665</v>
      </c>
      <c r="K187" s="1231"/>
      <c r="L187" s="1229"/>
      <c r="M187" s="1229"/>
      <c r="N187" s="1229"/>
    </row>
    <row r="188" spans="1:14" ht="29">
      <c r="A188" s="700">
        <f t="shared" si="8"/>
        <v>185</v>
      </c>
      <c r="B188" s="1152" t="s">
        <v>1691</v>
      </c>
      <c r="C188" s="1226"/>
      <c r="D188" s="1227" t="s">
        <v>1229</v>
      </c>
      <c r="E188" s="1235">
        <v>46133</v>
      </c>
      <c r="F188" s="1235"/>
      <c r="G188" s="1235">
        <v>46134</v>
      </c>
      <c r="H188" s="1234">
        <f t="shared" si="14"/>
        <v>1</v>
      </c>
      <c r="I188" s="1236" t="s">
        <v>1690</v>
      </c>
      <c r="J188" s="1229" t="s">
        <v>665</v>
      </c>
      <c r="K188" s="1214"/>
      <c r="L188" s="1212"/>
      <c r="M188" s="1212"/>
      <c r="N188" s="1212"/>
    </row>
    <row r="189" spans="1:14" ht="36" customHeight="1">
      <c r="A189" s="700">
        <f t="shared" ref="A189:A211" si="15">A188+1</f>
        <v>186</v>
      </c>
      <c r="B189" s="1152" t="s">
        <v>1685</v>
      </c>
      <c r="C189" s="1226"/>
      <c r="D189" s="1217" t="s">
        <v>1229</v>
      </c>
      <c r="E189" s="1116">
        <v>46134</v>
      </c>
      <c r="F189" s="1116"/>
      <c r="G189" s="1116">
        <v>46138</v>
      </c>
      <c r="H189" s="1152">
        <f t="shared" si="14"/>
        <v>4</v>
      </c>
      <c r="I189" s="637"/>
      <c r="J189" s="1229" t="s">
        <v>665</v>
      </c>
      <c r="K189" s="1214"/>
      <c r="L189" s="1212"/>
      <c r="M189" s="1212"/>
      <c r="N189" s="1212"/>
    </row>
    <row r="190" spans="1:14" ht="29.25" customHeight="1">
      <c r="A190" s="700">
        <f t="shared" si="15"/>
        <v>187</v>
      </c>
      <c r="B190" s="1152" t="s">
        <v>1689</v>
      </c>
      <c r="C190" s="1226"/>
      <c r="D190" s="1217" t="s">
        <v>1643</v>
      </c>
      <c r="E190" s="1116">
        <v>46127</v>
      </c>
      <c r="F190" s="1116"/>
      <c r="G190" s="1116"/>
      <c r="H190" s="1152"/>
      <c r="I190" s="637" t="s">
        <v>1688</v>
      </c>
      <c r="J190" s="1152"/>
      <c r="K190" s="21"/>
      <c r="L190" s="1152"/>
      <c r="M190" s="1152"/>
      <c r="N190" s="1152"/>
    </row>
    <row r="191" spans="1:14" ht="33" customHeight="1">
      <c r="A191" s="700">
        <f t="shared" si="15"/>
        <v>188</v>
      </c>
      <c r="B191" s="1251" t="s">
        <v>436</v>
      </c>
      <c r="C191" s="1226" t="str">
        <f>VLOOKUP(B191,'Location Summary'!$C$4:$D$603,2,FALSE)</f>
        <v>DA+0</v>
      </c>
      <c r="D191" s="1217" t="s">
        <v>1229</v>
      </c>
      <c r="E191" s="1116">
        <v>46140</v>
      </c>
      <c r="F191" s="1116"/>
      <c r="G191" s="1116"/>
      <c r="H191" s="1152"/>
      <c r="I191" s="637" t="s">
        <v>1688</v>
      </c>
      <c r="J191" s="1152"/>
      <c r="K191" s="21"/>
      <c r="L191" s="1152"/>
      <c r="M191" s="1152"/>
      <c r="N191" s="1152"/>
    </row>
    <row r="192" spans="1:14" ht="29.25" customHeight="1">
      <c r="A192" s="700">
        <f t="shared" si="15"/>
        <v>189</v>
      </c>
      <c r="B192" s="1283" t="s">
        <v>177</v>
      </c>
      <c r="C192" s="1226" t="str">
        <f>VLOOKUP(B192,'Location Summary'!$C$4:$D$603,2,FALSE)</f>
        <v>DA+3</v>
      </c>
      <c r="D192" s="1217" t="s">
        <v>1643</v>
      </c>
      <c r="E192" s="1116">
        <v>46145</v>
      </c>
      <c r="F192" s="1116"/>
      <c r="G192" s="1116">
        <v>46162</v>
      </c>
      <c r="H192" s="1152">
        <f t="shared" ref="H192" si="16">G192-E192</f>
        <v>17</v>
      </c>
      <c r="I192" s="637" t="s">
        <v>1752</v>
      </c>
      <c r="J192" s="1152" t="s">
        <v>665</v>
      </c>
      <c r="K192" s="21"/>
      <c r="L192" s="1152"/>
      <c r="M192" s="1152"/>
      <c r="N192" s="1152"/>
    </row>
    <row r="193" spans="1:14" ht="29.25" customHeight="1">
      <c r="A193" s="700">
        <f t="shared" si="15"/>
        <v>190</v>
      </c>
      <c r="B193" s="1283" t="s">
        <v>427</v>
      </c>
      <c r="C193" s="1226" t="str">
        <f>VLOOKUP(B193,'Location Summary'!$C$4:$D$603,2,FALSE)</f>
        <v>DA+0</v>
      </c>
      <c r="D193" s="1217" t="s">
        <v>1643</v>
      </c>
      <c r="E193" s="1116">
        <v>46145</v>
      </c>
      <c r="F193" s="1116"/>
      <c r="G193" s="1116"/>
      <c r="H193" s="1152"/>
      <c r="I193" s="637" t="s">
        <v>1752</v>
      </c>
      <c r="J193" s="1152"/>
      <c r="K193" s="21"/>
      <c r="L193" s="1152"/>
      <c r="M193" s="1152"/>
      <c r="N193" s="1152"/>
    </row>
    <row r="194" spans="1:14" ht="29.25" customHeight="1">
      <c r="A194" s="700">
        <f t="shared" si="15"/>
        <v>191</v>
      </c>
      <c r="B194" s="1283" t="s">
        <v>428</v>
      </c>
      <c r="C194" s="1226" t="str">
        <f>VLOOKUP(B194,'Location Summary'!$C$4:$D$603,2,FALSE)</f>
        <v>DA-3</v>
      </c>
      <c r="D194" s="1217" t="s">
        <v>1229</v>
      </c>
      <c r="E194" s="1116">
        <v>46157</v>
      </c>
      <c r="F194" s="1116"/>
      <c r="G194" s="1116"/>
      <c r="H194" s="1152"/>
      <c r="I194" s="637" t="s">
        <v>1543</v>
      </c>
      <c r="J194" s="1152"/>
      <c r="K194" s="21"/>
      <c r="L194" s="1152"/>
      <c r="M194" s="1152"/>
      <c r="N194" s="1152"/>
    </row>
    <row r="195" spans="1:14" ht="29.25" customHeight="1">
      <c r="A195" s="700">
        <f t="shared" si="15"/>
        <v>192</v>
      </c>
      <c r="B195" s="1283" t="s">
        <v>54</v>
      </c>
      <c r="C195" s="1226" t="str">
        <f>VLOOKUP(B195,'Location Summary'!$C$4:$D$603,2,FALSE)</f>
        <v>DB1+0</v>
      </c>
      <c r="D195" s="1217" t="s">
        <v>1229</v>
      </c>
      <c r="E195" s="1116">
        <v>46157</v>
      </c>
      <c r="F195" s="1116"/>
      <c r="G195" s="1116"/>
      <c r="H195" s="1152"/>
      <c r="I195" s="637" t="s">
        <v>1543</v>
      </c>
      <c r="J195" s="1152"/>
      <c r="K195" s="21"/>
      <c r="L195" s="1152"/>
      <c r="M195" s="1152"/>
      <c r="N195" s="1152"/>
    </row>
    <row r="196" spans="1:14" ht="29.25" customHeight="1">
      <c r="A196" s="700">
        <f t="shared" si="15"/>
        <v>193</v>
      </c>
      <c r="B196" s="1283" t="s">
        <v>180</v>
      </c>
      <c r="C196" s="1226" t="str">
        <f>VLOOKUP(B196,'Location Summary'!$C$4:$D$603,2,FALSE)</f>
        <v>DA+6</v>
      </c>
      <c r="D196" s="1217" t="s">
        <v>1845</v>
      </c>
      <c r="E196" s="1116">
        <v>46157</v>
      </c>
      <c r="F196" s="1116"/>
      <c r="G196" s="1116">
        <v>46162</v>
      </c>
      <c r="H196" s="1152">
        <f t="shared" ref="H196" si="17">G196-E196</f>
        <v>5</v>
      </c>
      <c r="I196" s="637" t="s">
        <v>1543</v>
      </c>
      <c r="J196" s="1152" t="s">
        <v>665</v>
      </c>
      <c r="K196" s="21"/>
      <c r="L196" s="1152"/>
      <c r="M196" s="1152"/>
      <c r="N196" s="1152"/>
    </row>
    <row r="197" spans="1:14" ht="29.25" customHeight="1">
      <c r="A197" s="700">
        <f t="shared" si="15"/>
        <v>194</v>
      </c>
      <c r="B197" s="1283" t="s">
        <v>180</v>
      </c>
      <c r="C197" s="1226" t="str">
        <f>VLOOKUP(B197,'Location Summary'!$C$4:$D$603,2,FALSE)</f>
        <v>DA+6</v>
      </c>
      <c r="D197" s="1217" t="s">
        <v>1229</v>
      </c>
      <c r="E197" s="1116">
        <v>46163</v>
      </c>
      <c r="F197" s="1116"/>
      <c r="G197" s="1116"/>
      <c r="H197" s="1152"/>
      <c r="I197" s="637" t="s">
        <v>1543</v>
      </c>
      <c r="J197" s="1152"/>
      <c r="K197" s="21"/>
      <c r="L197" s="1152"/>
      <c r="M197" s="1152"/>
      <c r="N197" s="1152"/>
    </row>
    <row r="198" spans="1:14" ht="29.25" customHeight="1">
      <c r="A198" s="700">
        <f t="shared" si="15"/>
        <v>195</v>
      </c>
      <c r="B198" s="1283" t="s">
        <v>167</v>
      </c>
      <c r="C198" s="1226" t="str">
        <f>VLOOKUP(B198,'Location Summary'!$C$4:$D$603,2,FALSE)</f>
        <v>DD60+25</v>
      </c>
      <c r="D198" s="1217" t="s">
        <v>1229</v>
      </c>
      <c r="E198" s="1116">
        <v>46154</v>
      </c>
      <c r="F198" s="1116"/>
      <c r="G198" s="1116"/>
      <c r="H198" s="1152"/>
      <c r="I198" s="637" t="s">
        <v>1543</v>
      </c>
      <c r="J198" s="1152"/>
      <c r="K198" s="21"/>
      <c r="L198" s="1152"/>
      <c r="M198" s="1152"/>
      <c r="N198" s="1152"/>
    </row>
    <row r="199" spans="1:14" ht="29.25" customHeight="1">
      <c r="A199" s="700">
        <f t="shared" si="15"/>
        <v>196</v>
      </c>
      <c r="B199" s="1283" t="s">
        <v>308</v>
      </c>
      <c r="C199" s="1226" t="str">
        <f>VLOOKUP(B199,'Location Summary'!$C$4:$D$603,2,FALSE)</f>
        <v>DA+6</v>
      </c>
      <c r="D199" s="1217" t="s">
        <v>1229</v>
      </c>
      <c r="E199" s="1116">
        <v>46158</v>
      </c>
      <c r="F199" s="1116"/>
      <c r="G199" s="1116"/>
      <c r="H199" s="1152"/>
      <c r="I199" s="637" t="s">
        <v>1543</v>
      </c>
      <c r="J199" s="1152"/>
      <c r="K199" s="21"/>
      <c r="L199" s="1152"/>
      <c r="M199" s="1152"/>
      <c r="N199" s="1152"/>
    </row>
    <row r="200" spans="1:14" ht="29.25" customHeight="1">
      <c r="A200" s="700">
        <f t="shared" si="15"/>
        <v>197</v>
      </c>
      <c r="B200" s="1283" t="s">
        <v>415</v>
      </c>
      <c r="C200" s="1226" t="str">
        <f>VLOOKUP(B200,'Location Summary'!$C$4:$D$603,2,FALSE)</f>
        <v>DA+3</v>
      </c>
      <c r="D200" s="1217" t="s">
        <v>1229</v>
      </c>
      <c r="E200" s="1116">
        <v>46158</v>
      </c>
      <c r="F200" s="1116">
        <v>46179</v>
      </c>
      <c r="G200" s="1116"/>
      <c r="H200" s="1152"/>
      <c r="I200" s="637" t="s">
        <v>1543</v>
      </c>
      <c r="J200" s="1152"/>
      <c r="K200" s="21"/>
      <c r="L200" s="1152"/>
      <c r="M200" s="1152"/>
      <c r="N200" s="1152"/>
    </row>
    <row r="201" spans="1:14" ht="29.25" customHeight="1">
      <c r="A201" s="700">
        <f t="shared" si="15"/>
        <v>198</v>
      </c>
      <c r="B201" s="1283" t="s">
        <v>425</v>
      </c>
      <c r="C201" s="1226" t="str">
        <f>VLOOKUP(B201,'Location Summary'!$C$4:$D$603,2,FALSE)</f>
        <v>DA+6</v>
      </c>
      <c r="D201" s="1217" t="s">
        <v>1229</v>
      </c>
      <c r="E201" s="1116">
        <v>46158</v>
      </c>
      <c r="F201" s="1116"/>
      <c r="G201" s="1116"/>
      <c r="H201" s="1152"/>
      <c r="I201" s="637" t="s">
        <v>1543</v>
      </c>
      <c r="J201" s="1152"/>
      <c r="K201" s="21"/>
      <c r="L201" s="1152"/>
      <c r="M201" s="1152"/>
      <c r="N201" s="1152"/>
    </row>
    <row r="202" spans="1:14" ht="29.25" customHeight="1">
      <c r="A202" s="700">
        <f t="shared" si="15"/>
        <v>199</v>
      </c>
      <c r="B202" s="1283" t="s">
        <v>424</v>
      </c>
      <c r="C202" s="1226" t="str">
        <f>VLOOKUP(B202,'Location Summary'!$C$4:$D$603,2,FALSE)</f>
        <v>DA+0</v>
      </c>
      <c r="D202" s="1217" t="s">
        <v>1229</v>
      </c>
      <c r="E202" s="1116">
        <v>46154</v>
      </c>
      <c r="F202" s="1116"/>
      <c r="G202" s="1116">
        <v>46162</v>
      </c>
      <c r="H202" s="1152">
        <f t="shared" ref="H202:H207" si="18">G202-E202</f>
        <v>8</v>
      </c>
      <c r="I202" s="637" t="s">
        <v>1543</v>
      </c>
      <c r="J202" s="1152" t="s">
        <v>665</v>
      </c>
      <c r="K202" s="21"/>
      <c r="L202" s="1152"/>
      <c r="M202" s="1152"/>
      <c r="N202" s="1152"/>
    </row>
    <row r="203" spans="1:14" ht="29.25" customHeight="1">
      <c r="A203" s="700">
        <f t="shared" si="15"/>
        <v>200</v>
      </c>
      <c r="B203" s="1283" t="s">
        <v>156</v>
      </c>
      <c r="C203" s="1226" t="str">
        <f>VLOOKUP(B203,'Location Summary'!$C$4:$D$603,2,FALSE)</f>
        <v>DA-1.5</v>
      </c>
      <c r="D203" s="1217" t="s">
        <v>1229</v>
      </c>
      <c r="E203" s="1116">
        <v>46160</v>
      </c>
      <c r="F203" s="1116"/>
      <c r="G203" s="1116">
        <v>46161</v>
      </c>
      <c r="H203" s="1152">
        <f t="shared" si="18"/>
        <v>1</v>
      </c>
      <c r="I203" s="637" t="s">
        <v>1543</v>
      </c>
      <c r="J203" s="1152" t="s">
        <v>665</v>
      </c>
      <c r="K203" s="21"/>
      <c r="L203" s="1152"/>
      <c r="M203" s="1152"/>
      <c r="N203" s="1152"/>
    </row>
    <row r="204" spans="1:14" ht="29.25" customHeight="1">
      <c r="A204" s="700">
        <f t="shared" si="15"/>
        <v>201</v>
      </c>
      <c r="B204" s="1283" t="s">
        <v>162</v>
      </c>
      <c r="C204" s="1226" t="str">
        <f>VLOOKUP(B204,'Location Summary'!$C$4:$D$603,2,FALSE)</f>
        <v>DA-3</v>
      </c>
      <c r="D204" s="1217" t="s">
        <v>1229</v>
      </c>
      <c r="E204" s="1116">
        <v>46150</v>
      </c>
      <c r="F204" s="1116"/>
      <c r="G204" s="1116">
        <v>46161</v>
      </c>
      <c r="H204" s="1152">
        <f t="shared" si="18"/>
        <v>11</v>
      </c>
      <c r="I204" s="637" t="s">
        <v>1543</v>
      </c>
      <c r="J204" s="1152" t="s">
        <v>665</v>
      </c>
      <c r="K204" s="21"/>
      <c r="L204" s="1152"/>
      <c r="M204" s="1152"/>
      <c r="N204" s="1152"/>
    </row>
    <row r="205" spans="1:14" ht="29.25" customHeight="1">
      <c r="A205" s="700">
        <f t="shared" si="15"/>
        <v>202</v>
      </c>
      <c r="B205" s="1283" t="s">
        <v>596</v>
      </c>
      <c r="C205" s="1226" t="str">
        <f>VLOOKUP(B205,'Location Summary'!$C$4:$D$603,2,FALSE)</f>
        <v>DA+3</v>
      </c>
      <c r="D205" s="1217" t="s">
        <v>1229</v>
      </c>
      <c r="E205" s="1116">
        <v>46179</v>
      </c>
      <c r="F205" s="1116"/>
      <c r="G205" s="1116"/>
      <c r="H205" s="1152"/>
      <c r="I205" s="637" t="s">
        <v>1801</v>
      </c>
      <c r="J205" s="1152"/>
      <c r="K205" s="21"/>
      <c r="L205" s="1152"/>
      <c r="M205" s="1152"/>
      <c r="N205" s="1152"/>
    </row>
    <row r="206" spans="1:14" ht="29.25" customHeight="1">
      <c r="A206" s="700">
        <f t="shared" si="15"/>
        <v>203</v>
      </c>
      <c r="B206" s="1283" t="s">
        <v>267</v>
      </c>
      <c r="C206" s="1226" t="str">
        <f>VLOOKUP(B206,'Location Summary'!$C$4:$D$603,2,FALSE)</f>
        <v>DD60+9</v>
      </c>
      <c r="D206" s="1217" t="s">
        <v>1831</v>
      </c>
      <c r="E206" s="1116">
        <v>46184</v>
      </c>
      <c r="F206" s="1116">
        <v>46192</v>
      </c>
      <c r="G206" s="1116">
        <v>46192</v>
      </c>
      <c r="H206" s="1152">
        <f t="shared" si="18"/>
        <v>8</v>
      </c>
      <c r="I206" s="637" t="s">
        <v>1844</v>
      </c>
      <c r="J206" s="1152" t="s">
        <v>665</v>
      </c>
      <c r="K206" s="21"/>
      <c r="L206" s="1152"/>
      <c r="M206" s="1152"/>
      <c r="N206" s="1152"/>
    </row>
    <row r="207" spans="1:14" ht="29.25" customHeight="1">
      <c r="A207" s="700">
        <f t="shared" si="15"/>
        <v>204</v>
      </c>
      <c r="B207" s="1283" t="s">
        <v>485</v>
      </c>
      <c r="C207" s="1226" t="str">
        <f>VLOOKUP(B207,'Location Summary'!$C$4:$D$603,2,FALSE)</f>
        <v>DB1+9</v>
      </c>
      <c r="D207" s="1217" t="s">
        <v>1831</v>
      </c>
      <c r="E207" s="1116">
        <v>46184</v>
      </c>
      <c r="F207" s="1116">
        <v>46192</v>
      </c>
      <c r="G207" s="1116">
        <v>46192</v>
      </c>
      <c r="H207" s="1152">
        <f t="shared" si="18"/>
        <v>8</v>
      </c>
      <c r="I207" s="637" t="s">
        <v>1844</v>
      </c>
      <c r="J207" s="1152" t="s">
        <v>665</v>
      </c>
      <c r="K207" s="21"/>
      <c r="L207" s="1152"/>
      <c r="M207" s="1152"/>
      <c r="N207" s="1152"/>
    </row>
    <row r="208" spans="1:14" ht="29.25" customHeight="1">
      <c r="A208" s="700">
        <f t="shared" si="15"/>
        <v>205</v>
      </c>
      <c r="B208" s="1283" t="s">
        <v>496</v>
      </c>
      <c r="C208" s="1226" t="str">
        <f>VLOOKUP(B208,'Location Summary'!$C$4:$D$603,2,FALSE)</f>
        <v>DA+3</v>
      </c>
      <c r="D208" s="1217" t="s">
        <v>1831</v>
      </c>
      <c r="E208" s="1116">
        <v>46184</v>
      </c>
      <c r="F208" s="1116"/>
      <c r="G208" s="1116"/>
      <c r="H208" s="1152"/>
      <c r="I208" s="637" t="s">
        <v>1832</v>
      </c>
      <c r="J208" s="1152"/>
      <c r="K208" s="21"/>
      <c r="L208" s="1152"/>
      <c r="M208" s="1152"/>
      <c r="N208" s="1152"/>
    </row>
    <row r="209" spans="1:14" ht="29.25" customHeight="1">
      <c r="A209" s="700">
        <f t="shared" si="15"/>
        <v>206</v>
      </c>
      <c r="B209" s="1283" t="s">
        <v>498</v>
      </c>
      <c r="C209" s="1226" t="str">
        <f>VLOOKUP(B209,'Location Summary'!$C$4:$D$603,2,FALSE)</f>
        <v>DA+3</v>
      </c>
      <c r="D209" s="1217" t="s">
        <v>1831</v>
      </c>
      <c r="E209" s="1116">
        <v>46184</v>
      </c>
      <c r="F209" s="1116"/>
      <c r="G209" s="1116"/>
      <c r="H209" s="1152"/>
      <c r="I209" s="637" t="s">
        <v>1832</v>
      </c>
      <c r="J209" s="1152"/>
      <c r="K209" s="21"/>
      <c r="L209" s="1152"/>
      <c r="M209" s="1152"/>
      <c r="N209" s="1152"/>
    </row>
    <row r="210" spans="1:14" ht="29.25" customHeight="1">
      <c r="A210" s="700">
        <f t="shared" si="15"/>
        <v>207</v>
      </c>
      <c r="B210" s="1283" t="s">
        <v>598</v>
      </c>
      <c r="C210" s="1226" t="str">
        <f>VLOOKUP(B210,'Location Summary'!$C$4:$D$603,2,FALSE)</f>
        <v>DA+1.5</v>
      </c>
      <c r="D210" s="1217" t="s">
        <v>1229</v>
      </c>
      <c r="E210" s="1116">
        <v>46193</v>
      </c>
      <c r="F210" s="1116">
        <v>46196</v>
      </c>
      <c r="G210" s="1116">
        <v>46196</v>
      </c>
      <c r="H210" s="1152">
        <f t="shared" ref="H210:H211" si="19">G210-E210</f>
        <v>3</v>
      </c>
      <c r="I210" s="637" t="s">
        <v>1846</v>
      </c>
      <c r="J210" s="1152" t="s">
        <v>665</v>
      </c>
      <c r="K210" s="21" t="s">
        <v>1847</v>
      </c>
      <c r="L210" s="1152">
        <v>9649092645</v>
      </c>
      <c r="M210" s="1152" t="s">
        <v>1848</v>
      </c>
      <c r="N210" s="716" t="s">
        <v>658</v>
      </c>
    </row>
    <row r="211" spans="1:14" ht="29.25" customHeight="1">
      <c r="A211" s="700">
        <f t="shared" si="15"/>
        <v>208</v>
      </c>
      <c r="B211" s="1283" t="s">
        <v>599</v>
      </c>
      <c r="C211" s="1226" t="str">
        <f>VLOOKUP(B211,'Location Summary'!$C$4:$D$603,2,FALSE)</f>
        <v>DA+3</v>
      </c>
      <c r="D211" s="1217" t="s">
        <v>1229</v>
      </c>
      <c r="E211" s="1116">
        <v>46193</v>
      </c>
      <c r="F211" s="1116">
        <v>46196</v>
      </c>
      <c r="G211" s="1116">
        <v>46196</v>
      </c>
      <c r="H211" s="1152">
        <f t="shared" si="19"/>
        <v>3</v>
      </c>
      <c r="I211" s="637" t="s">
        <v>1846</v>
      </c>
      <c r="J211" s="1152" t="s">
        <v>665</v>
      </c>
      <c r="K211" s="21" t="s">
        <v>1847</v>
      </c>
      <c r="L211" s="1152">
        <v>9649092645</v>
      </c>
      <c r="M211" s="1152" t="s">
        <v>1848</v>
      </c>
      <c r="N211" s="716" t="s">
        <v>658</v>
      </c>
    </row>
    <row r="212" spans="1:14" ht="29.25" customHeight="1">
      <c r="A212" s="700"/>
      <c r="B212" s="1283"/>
      <c r="C212" s="1226"/>
      <c r="D212" s="1217"/>
      <c r="E212" s="1116"/>
      <c r="F212" s="1116"/>
      <c r="G212" s="1116"/>
      <c r="H212" s="1152"/>
      <c r="I212" s="637"/>
      <c r="J212" s="1152"/>
      <c r="K212" s="21"/>
      <c r="L212" s="1152"/>
      <c r="M212" s="1152"/>
      <c r="N212" s="1152"/>
    </row>
    <row r="1048555" spans="3:3">
      <c r="C1048555" s="702" t="e">
        <f>VLOOKUP(B1048555,'Location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65" t="s">
        <v>1014</v>
      </c>
      <c r="B1" s="1665"/>
      <c r="C1" s="1665"/>
      <c r="D1" s="1665"/>
      <c r="E1" s="1665"/>
      <c r="F1" s="1665"/>
      <c r="G1" s="1665"/>
      <c r="H1" s="1665"/>
      <c r="I1" s="1665"/>
      <c r="J1" s="1665"/>
      <c r="K1" s="1665"/>
      <c r="L1" s="1665"/>
      <c r="M1" s="1665"/>
      <c r="N1" s="1665"/>
      <c r="O1" s="1665"/>
      <c r="P1" s="1665"/>
      <c r="Q1" s="1665"/>
      <c r="R1" s="1665"/>
      <c r="S1" s="1665"/>
      <c r="T1" s="1665"/>
    </row>
    <row r="2" spans="1:20">
      <c r="A2" s="1076" t="s">
        <v>1579</v>
      </c>
      <c r="B2" s="1076" t="s">
        <v>1580</v>
      </c>
      <c r="C2" s="1076" t="s">
        <v>1581</v>
      </c>
      <c r="D2" s="1076" t="s">
        <v>1582</v>
      </c>
      <c r="E2" s="1076" t="s">
        <v>1583</v>
      </c>
    </row>
    <row r="3" spans="1:20" ht="18" customHeight="1">
      <c r="A3" s="1077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77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77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77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77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77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77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77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77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77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77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77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77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77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77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64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66" t="s">
        <v>1014</v>
      </c>
      <c r="B1" s="1666"/>
      <c r="C1" s="1666"/>
      <c r="D1" s="1666"/>
      <c r="E1" s="1666"/>
      <c r="F1" s="1666"/>
      <c r="G1" s="1666"/>
      <c r="H1" s="1666"/>
      <c r="I1" s="1666"/>
      <c r="J1" s="1666"/>
      <c r="K1" s="1666"/>
      <c r="L1" s="1666"/>
      <c r="M1" s="1666"/>
      <c r="N1" s="1666"/>
      <c r="O1" s="1666"/>
      <c r="P1" s="1666"/>
      <c r="Q1" s="1666"/>
      <c r="R1" s="1666"/>
      <c r="S1" s="1666"/>
      <c r="T1" s="1666"/>
    </row>
    <row r="2" spans="1:20" ht="43.5">
      <c r="A2" s="1078" t="s">
        <v>1579</v>
      </c>
      <c r="B2" s="1079" t="s">
        <v>1584</v>
      </c>
      <c r="C2" s="1079" t="s">
        <v>1585</v>
      </c>
      <c r="D2" s="1079" t="s">
        <v>1586</v>
      </c>
      <c r="E2" s="1079" t="s">
        <v>1587</v>
      </c>
    </row>
    <row r="3" spans="1:20">
      <c r="A3" s="1077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77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77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77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77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77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77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77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77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77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77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77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77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77">
        <v>45839</v>
      </c>
      <c r="B16" s="71">
        <v>20</v>
      </c>
      <c r="C16" s="71">
        <v>8</v>
      </c>
      <c r="D16" s="3">
        <f t="shared" si="0"/>
        <v>268</v>
      </c>
      <c r="E16" s="3">
        <f t="shared" si="0"/>
        <v>112</v>
      </c>
    </row>
    <row r="17" spans="1:5">
      <c r="A17" s="1077">
        <v>45870</v>
      </c>
      <c r="B17" s="71">
        <v>12</v>
      </c>
      <c r="C17" s="71">
        <v>44</v>
      </c>
      <c r="D17" s="3">
        <f t="shared" si="0"/>
        <v>280</v>
      </c>
      <c r="E17" s="3">
        <f t="shared" si="0"/>
        <v>156</v>
      </c>
    </row>
    <row r="18" spans="1:5">
      <c r="A18" s="1077">
        <v>45901</v>
      </c>
      <c r="B18" s="71">
        <v>7</v>
      </c>
      <c r="C18" s="71">
        <v>65</v>
      </c>
      <c r="D18" s="3">
        <f t="shared" si="0"/>
        <v>287</v>
      </c>
      <c r="E18" s="3">
        <f t="shared" si="0"/>
        <v>221</v>
      </c>
    </row>
    <row r="19" spans="1:5">
      <c r="A19" s="1077">
        <v>45931</v>
      </c>
      <c r="B19" s="71">
        <v>0</v>
      </c>
      <c r="C19" s="71">
        <v>36</v>
      </c>
      <c r="D19" s="3">
        <f t="shared" si="0"/>
        <v>287</v>
      </c>
      <c r="E19" s="3">
        <f t="shared" si="0"/>
        <v>257</v>
      </c>
    </row>
    <row r="20" spans="1:5">
      <c r="A20" s="1077">
        <v>45962</v>
      </c>
      <c r="B20" s="71">
        <v>0</v>
      </c>
      <c r="C20" s="71">
        <v>24</v>
      </c>
      <c r="D20" s="3">
        <f t="shared" si="0"/>
        <v>287</v>
      </c>
      <c r="E20" s="3">
        <f t="shared" si="0"/>
        <v>281</v>
      </c>
    </row>
    <row r="21" spans="1:5">
      <c r="A21" s="1077">
        <v>45992</v>
      </c>
      <c r="B21" s="71">
        <v>0</v>
      </c>
      <c r="C21" s="71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67" t="s">
        <v>1014</v>
      </c>
      <c r="B1" s="1667"/>
      <c r="C1" s="1667"/>
      <c r="D1" s="1667"/>
      <c r="E1" s="1667"/>
      <c r="F1" s="1667"/>
      <c r="G1" s="1667"/>
      <c r="H1" s="1667"/>
      <c r="I1" s="1667"/>
      <c r="J1" s="1667"/>
      <c r="K1" s="1667"/>
      <c r="L1" s="1667"/>
      <c r="M1" s="1667"/>
      <c r="N1" s="1667"/>
      <c r="O1" s="1667"/>
      <c r="P1" s="1667"/>
      <c r="Q1" s="1667"/>
      <c r="R1" s="1667"/>
      <c r="S1" s="1667"/>
      <c r="T1" s="1667"/>
    </row>
    <row r="2" spans="1:20" ht="22.5" customHeight="1">
      <c r="A2" s="1078" t="s">
        <v>1579</v>
      </c>
      <c r="B2" s="1078" t="s">
        <v>1588</v>
      </c>
      <c r="C2" s="1078" t="s">
        <v>1589</v>
      </c>
      <c r="D2" s="1078" t="s">
        <v>1590</v>
      </c>
      <c r="E2" s="1078" t="s">
        <v>1591</v>
      </c>
    </row>
    <row r="3" spans="1:20">
      <c r="A3" s="1077">
        <v>45505</v>
      </c>
      <c r="B3" s="81">
        <v>4</v>
      </c>
      <c r="C3" s="3"/>
      <c r="D3" s="81">
        <f>B3</f>
        <v>4</v>
      </c>
      <c r="E3" s="122">
        <f>C3</f>
        <v>0</v>
      </c>
    </row>
    <row r="4" spans="1:20">
      <c r="A4" s="1077">
        <v>45536</v>
      </c>
      <c r="B4" s="81">
        <v>4</v>
      </c>
      <c r="C4" s="3"/>
      <c r="D4" s="81">
        <f t="shared" ref="D4:E20" si="0">+D3+B4</f>
        <v>8</v>
      </c>
      <c r="E4" s="122">
        <f t="shared" si="0"/>
        <v>0</v>
      </c>
    </row>
    <row r="5" spans="1:20">
      <c r="A5" s="1077">
        <v>45566</v>
      </c>
      <c r="B5" s="81">
        <v>8</v>
      </c>
      <c r="C5" s="3"/>
      <c r="D5" s="81">
        <f t="shared" si="0"/>
        <v>16</v>
      </c>
      <c r="E5" s="122">
        <f>+E4+C5</f>
        <v>0</v>
      </c>
    </row>
    <row r="6" spans="1:20">
      <c r="A6" s="1077">
        <v>45597</v>
      </c>
      <c r="B6" s="1080">
        <v>8</v>
      </c>
      <c r="C6" s="29"/>
      <c r="D6" s="81">
        <f t="shared" si="0"/>
        <v>24</v>
      </c>
      <c r="E6" s="122">
        <f>+E5+C6</f>
        <v>0</v>
      </c>
    </row>
    <row r="7" spans="1:20">
      <c r="A7" s="1077">
        <v>45627</v>
      </c>
      <c r="B7" s="1080">
        <v>8</v>
      </c>
      <c r="C7" s="29"/>
      <c r="D7" s="81">
        <f t="shared" si="0"/>
        <v>32</v>
      </c>
      <c r="E7" s="122">
        <f t="shared" si="0"/>
        <v>0</v>
      </c>
    </row>
    <row r="8" spans="1:20">
      <c r="A8" s="1077">
        <v>45658</v>
      </c>
      <c r="B8" s="1080">
        <v>8</v>
      </c>
      <c r="C8" s="29"/>
      <c r="D8" s="81">
        <f t="shared" si="0"/>
        <v>40</v>
      </c>
      <c r="E8" s="122">
        <f t="shared" si="0"/>
        <v>0</v>
      </c>
    </row>
    <row r="9" spans="1:20">
      <c r="A9" s="1077">
        <v>45689</v>
      </c>
      <c r="B9" s="1080">
        <v>10</v>
      </c>
      <c r="C9" s="29"/>
      <c r="D9" s="81">
        <f t="shared" si="0"/>
        <v>50</v>
      </c>
      <c r="E9" s="122">
        <f t="shared" si="0"/>
        <v>0</v>
      </c>
    </row>
    <row r="10" spans="1:20">
      <c r="A10" s="1077">
        <v>45717</v>
      </c>
      <c r="B10" s="1080">
        <v>10</v>
      </c>
      <c r="C10" s="29">
        <v>4.899</v>
      </c>
      <c r="D10" s="81">
        <f t="shared" si="0"/>
        <v>60</v>
      </c>
      <c r="E10" s="29">
        <f>+E9+C10</f>
        <v>4.899</v>
      </c>
    </row>
    <row r="11" spans="1:20">
      <c r="A11" s="1077">
        <v>45748</v>
      </c>
      <c r="B11" s="1080">
        <v>10</v>
      </c>
      <c r="C11" s="29">
        <v>6.7469999999999999</v>
      </c>
      <c r="D11" s="81">
        <f>+D10+B11</f>
        <v>70</v>
      </c>
      <c r="E11" s="29">
        <f>+E10+C11</f>
        <v>11.646000000000001</v>
      </c>
    </row>
    <row r="12" spans="1:20">
      <c r="A12" s="1077">
        <v>45778</v>
      </c>
      <c r="B12" s="1080">
        <v>10</v>
      </c>
      <c r="C12" s="29">
        <v>4.7160000000000002</v>
      </c>
      <c r="D12" s="81">
        <f t="shared" si="0"/>
        <v>80</v>
      </c>
      <c r="E12" s="29">
        <f>+E11+C12</f>
        <v>16.362000000000002</v>
      </c>
    </row>
    <row r="13" spans="1:20">
      <c r="A13" s="1077">
        <v>45809</v>
      </c>
      <c r="B13" s="1080">
        <v>8</v>
      </c>
      <c r="C13" s="29"/>
      <c r="D13" s="81">
        <f t="shared" si="0"/>
        <v>88</v>
      </c>
      <c r="E13" s="29">
        <f t="shared" si="0"/>
        <v>16.362000000000002</v>
      </c>
    </row>
    <row r="14" spans="1:20">
      <c r="A14" s="1077">
        <v>45839</v>
      </c>
      <c r="B14" s="1080">
        <v>8</v>
      </c>
      <c r="C14" s="29"/>
      <c r="D14" s="81">
        <f t="shared" si="0"/>
        <v>96</v>
      </c>
      <c r="E14" s="29">
        <f t="shared" si="0"/>
        <v>16.362000000000002</v>
      </c>
    </row>
    <row r="15" spans="1:20">
      <c r="A15" s="1077">
        <v>45870</v>
      </c>
      <c r="B15" s="1080">
        <v>8</v>
      </c>
      <c r="C15" s="29"/>
      <c r="D15" s="81">
        <f t="shared" si="0"/>
        <v>104</v>
      </c>
      <c r="E15" s="29">
        <f t="shared" si="0"/>
        <v>16.362000000000002</v>
      </c>
    </row>
    <row r="16" spans="1:20">
      <c r="A16" s="1077">
        <v>45901</v>
      </c>
      <c r="B16" s="1080">
        <v>4</v>
      </c>
      <c r="C16" s="29">
        <v>5.1340000000000003</v>
      </c>
      <c r="D16" s="81">
        <f t="shared" si="0"/>
        <v>108</v>
      </c>
      <c r="E16" s="29">
        <f t="shared" si="0"/>
        <v>21.496000000000002</v>
      </c>
    </row>
    <row r="17" spans="1:5">
      <c r="A17" s="1077">
        <v>45931</v>
      </c>
      <c r="B17" s="1080">
        <v>4</v>
      </c>
      <c r="C17" s="29">
        <v>4.9219999999999997</v>
      </c>
      <c r="D17" s="81">
        <f t="shared" si="0"/>
        <v>112</v>
      </c>
      <c r="E17" s="29">
        <f t="shared" si="0"/>
        <v>26.418000000000003</v>
      </c>
    </row>
    <row r="18" spans="1:5">
      <c r="A18" s="1077">
        <v>45962</v>
      </c>
      <c r="B18" s="1080">
        <v>0</v>
      </c>
      <c r="C18" s="29">
        <v>4.9009999999999998</v>
      </c>
      <c r="D18" s="81">
        <f t="shared" si="0"/>
        <v>112</v>
      </c>
      <c r="E18" s="29">
        <f t="shared" si="0"/>
        <v>31.319000000000003</v>
      </c>
    </row>
    <row r="19" spans="1:5">
      <c r="A19" s="1077">
        <v>45992</v>
      </c>
      <c r="B19" s="1080">
        <v>0</v>
      </c>
      <c r="C19" s="29"/>
      <c r="D19" s="81">
        <f t="shared" si="0"/>
        <v>112</v>
      </c>
      <c r="E19" s="29">
        <f t="shared" si="0"/>
        <v>31.319000000000003</v>
      </c>
    </row>
    <row r="20" spans="1:5">
      <c r="A20" s="1077">
        <v>46023</v>
      </c>
      <c r="B20" s="1080">
        <v>0</v>
      </c>
      <c r="C20" s="29"/>
      <c r="D20" s="81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5" customWidth="1"/>
    <col min="2" max="2" width="9.1796875" style="465"/>
    <col min="3" max="3" width="32.453125" style="465" bestFit="1" customWidth="1"/>
    <col min="4" max="4" width="9" style="465" customWidth="1"/>
    <col min="5" max="5" width="10" style="465" customWidth="1"/>
    <col min="6" max="6" width="12.1796875" style="465" customWidth="1"/>
    <col min="7" max="7" width="12.81640625" style="465" customWidth="1"/>
    <col min="8" max="8" width="13.26953125" style="465" customWidth="1"/>
    <col min="9" max="9" width="11.453125" style="465" customWidth="1"/>
    <col min="10" max="10" width="27.54296875" style="465" bestFit="1" customWidth="1"/>
    <col min="11" max="16384" width="9.1796875" style="465"/>
  </cols>
  <sheetData>
    <row r="1" spans="2:11" ht="21">
      <c r="B1" s="1668" t="s">
        <v>1012</v>
      </c>
      <c r="C1" s="1669"/>
      <c r="D1" s="1669"/>
      <c r="E1" s="1669"/>
      <c r="F1" s="1669"/>
      <c r="G1" s="1669"/>
      <c r="H1" s="1669"/>
      <c r="I1" s="1670"/>
      <c r="J1" s="828" t="str">
        <f>TA413_PBNTL!M1</f>
        <v>26.06.2026</v>
      </c>
    </row>
    <row r="2" spans="2:11">
      <c r="B2" s="1671" t="s">
        <v>1759</v>
      </c>
      <c r="C2" s="1672"/>
      <c r="D2" s="1672"/>
      <c r="E2" s="1672"/>
      <c r="F2" s="1672"/>
      <c r="G2" s="1672"/>
      <c r="H2" s="1672"/>
      <c r="I2" s="1673" t="s">
        <v>917</v>
      </c>
      <c r="J2" s="1674"/>
    </row>
    <row r="3" spans="2:11" ht="9.75" customHeight="1" thickBot="1">
      <c r="B3" s="829"/>
      <c r="C3" s="830"/>
      <c r="D3" s="830"/>
      <c r="E3" s="830"/>
      <c r="F3" s="830"/>
      <c r="G3" s="830"/>
      <c r="H3" s="830"/>
      <c r="I3" s="830"/>
      <c r="J3" s="831"/>
    </row>
    <row r="4" spans="2:11" ht="18.75" customHeight="1">
      <c r="B4" s="1675" t="s">
        <v>667</v>
      </c>
      <c r="C4" s="1677" t="s">
        <v>131</v>
      </c>
      <c r="D4" s="1677" t="s">
        <v>274</v>
      </c>
      <c r="E4" s="1679" t="s">
        <v>918</v>
      </c>
      <c r="F4" s="1679" t="s">
        <v>919</v>
      </c>
      <c r="G4" s="1677" t="s">
        <v>1540</v>
      </c>
      <c r="H4" s="1681" t="s">
        <v>920</v>
      </c>
      <c r="I4" s="1682"/>
      <c r="J4" s="825" t="s">
        <v>0</v>
      </c>
    </row>
    <row r="5" spans="2:11">
      <c r="B5" s="1676"/>
      <c r="C5" s="1678"/>
      <c r="D5" s="1678"/>
      <c r="E5" s="1680"/>
      <c r="F5" s="1680"/>
      <c r="G5" s="1678"/>
      <c r="H5" s="826" t="s">
        <v>921</v>
      </c>
      <c r="I5" s="826" t="s">
        <v>813</v>
      </c>
      <c r="J5" s="827" t="s">
        <v>921</v>
      </c>
    </row>
    <row r="6" spans="2:11">
      <c r="B6" s="466" t="s">
        <v>922</v>
      </c>
      <c r="C6" s="467" t="s">
        <v>923</v>
      </c>
      <c r="D6" s="468"/>
      <c r="E6" s="468"/>
      <c r="F6" s="468"/>
      <c r="G6" s="468"/>
      <c r="H6" s="468"/>
      <c r="I6" s="468"/>
      <c r="J6" s="469"/>
    </row>
    <row r="7" spans="2:11">
      <c r="B7" s="793">
        <v>1</v>
      </c>
      <c r="C7" s="791" t="s">
        <v>503</v>
      </c>
      <c r="D7" s="778" t="s">
        <v>126</v>
      </c>
      <c r="E7" s="779">
        <v>287</v>
      </c>
      <c r="F7" s="779">
        <v>316</v>
      </c>
      <c r="G7" s="779">
        <v>287</v>
      </c>
      <c r="H7" s="779">
        <v>316</v>
      </c>
      <c r="I7" s="780">
        <f>H7/F7</f>
        <v>1</v>
      </c>
      <c r="J7" s="781">
        <f>F7-H7</f>
        <v>0</v>
      </c>
      <c r="K7" s="992"/>
    </row>
    <row r="8" spans="2:11">
      <c r="B8" s="793">
        <v>2</v>
      </c>
      <c r="C8" s="791" t="s">
        <v>224</v>
      </c>
      <c r="D8" s="778" t="s">
        <v>122</v>
      </c>
      <c r="E8" s="779">
        <v>287</v>
      </c>
      <c r="F8" s="779">
        <v>306</v>
      </c>
      <c r="G8" s="779">
        <v>287</v>
      </c>
      <c r="H8" s="779">
        <v>306</v>
      </c>
      <c r="I8" s="780">
        <f t="shared" ref="I8:I15" si="0">H8/F8</f>
        <v>1</v>
      </c>
      <c r="J8" s="781">
        <f>F8-H8</f>
        <v>0</v>
      </c>
    </row>
    <row r="9" spans="2:11">
      <c r="B9" s="793">
        <v>3</v>
      </c>
      <c r="C9" s="791" t="s">
        <v>924</v>
      </c>
      <c r="D9" s="778" t="s">
        <v>159</v>
      </c>
      <c r="E9" s="782">
        <v>4095</v>
      </c>
      <c r="F9" s="782">
        <v>4285.0559999999996</v>
      </c>
      <c r="G9" s="782">
        <v>4095</v>
      </c>
      <c r="H9" s="782">
        <v>4285.0559999999996</v>
      </c>
      <c r="I9" s="780">
        <f t="shared" si="0"/>
        <v>1</v>
      </c>
      <c r="J9" s="781">
        <f t="shared" ref="J9:J15" si="1">F9-H9</f>
        <v>0</v>
      </c>
    </row>
    <row r="10" spans="2:11" ht="15.65" customHeight="1">
      <c r="B10" s="793">
        <v>4</v>
      </c>
      <c r="C10" s="791" t="s">
        <v>937</v>
      </c>
      <c r="D10" s="778" t="s">
        <v>813</v>
      </c>
      <c r="E10" s="780">
        <v>1</v>
      </c>
      <c r="F10" s="780">
        <v>1</v>
      </c>
      <c r="G10" s="780">
        <v>1</v>
      </c>
      <c r="H10" s="783">
        <v>1</v>
      </c>
      <c r="I10" s="780">
        <f t="shared" si="0"/>
        <v>1</v>
      </c>
      <c r="J10" s="781">
        <f t="shared" si="1"/>
        <v>0</v>
      </c>
    </row>
    <row r="11" spans="2:11">
      <c r="B11" s="793">
        <v>5</v>
      </c>
      <c r="C11" s="791" t="s">
        <v>925</v>
      </c>
      <c r="D11" s="778" t="s">
        <v>159</v>
      </c>
      <c r="E11" s="782">
        <v>114</v>
      </c>
      <c r="F11" s="782">
        <v>121.471</v>
      </c>
      <c r="G11" s="784">
        <v>1</v>
      </c>
      <c r="H11" s="785">
        <v>121.471</v>
      </c>
      <c r="I11" s="780">
        <f t="shared" si="0"/>
        <v>1</v>
      </c>
      <c r="J11" s="781">
        <f t="shared" si="1"/>
        <v>0</v>
      </c>
    </row>
    <row r="12" spans="2:11">
      <c r="B12" s="793">
        <v>6</v>
      </c>
      <c r="C12" s="791" t="s">
        <v>133</v>
      </c>
      <c r="D12" s="719" t="s">
        <v>813</v>
      </c>
      <c r="E12" s="780">
        <v>1</v>
      </c>
      <c r="F12" s="780">
        <v>1</v>
      </c>
      <c r="G12" s="784">
        <v>1</v>
      </c>
      <c r="H12" s="784">
        <v>1</v>
      </c>
      <c r="I12" s="780">
        <f t="shared" si="0"/>
        <v>1</v>
      </c>
      <c r="J12" s="781">
        <f t="shared" si="1"/>
        <v>0</v>
      </c>
    </row>
    <row r="13" spans="2:11">
      <c r="B13" s="793">
        <v>7</v>
      </c>
      <c r="C13" s="791" t="s">
        <v>101</v>
      </c>
      <c r="D13" s="778" t="s">
        <v>122</v>
      </c>
      <c r="E13" s="782">
        <v>10480</v>
      </c>
      <c r="F13" s="782">
        <v>11844</v>
      </c>
      <c r="G13" s="782">
        <v>10480</v>
      </c>
      <c r="H13" s="785">
        <v>11844</v>
      </c>
      <c r="I13" s="780">
        <f t="shared" si="0"/>
        <v>1</v>
      </c>
      <c r="J13" s="781">
        <f t="shared" si="1"/>
        <v>0</v>
      </c>
      <c r="K13" s="992"/>
    </row>
    <row r="14" spans="2:11">
      <c r="B14" s="793">
        <v>8</v>
      </c>
      <c r="C14" s="791" t="s">
        <v>926</v>
      </c>
      <c r="D14" s="778" t="s">
        <v>159</v>
      </c>
      <c r="E14" s="786">
        <v>118.557</v>
      </c>
      <c r="F14" s="786">
        <v>123.542</v>
      </c>
      <c r="G14" s="787">
        <v>1</v>
      </c>
      <c r="H14" s="956">
        <f>80+37.33</f>
        <v>117.33</v>
      </c>
      <c r="I14" s="780">
        <f t="shared" si="0"/>
        <v>0.94971750497806406</v>
      </c>
      <c r="J14" s="781">
        <f t="shared" si="1"/>
        <v>6.2120000000000033</v>
      </c>
    </row>
    <row r="15" spans="2:11" ht="15" thickBot="1">
      <c r="B15" s="794">
        <v>9</v>
      </c>
      <c r="C15" s="792" t="s">
        <v>927</v>
      </c>
      <c r="D15" s="788" t="s">
        <v>813</v>
      </c>
      <c r="E15" s="789">
        <v>1</v>
      </c>
      <c r="F15" s="789">
        <v>1</v>
      </c>
      <c r="G15" s="790">
        <v>1</v>
      </c>
      <c r="H15" s="790">
        <v>1</v>
      </c>
      <c r="I15" s="780">
        <f t="shared" si="0"/>
        <v>1</v>
      </c>
      <c r="J15" s="781">
        <f t="shared" si="1"/>
        <v>0</v>
      </c>
    </row>
    <row r="16" spans="2:11" ht="19" thickBot="1">
      <c r="B16" s="1691" t="s">
        <v>1013</v>
      </c>
      <c r="C16" s="1692"/>
      <c r="D16" s="1692"/>
      <c r="E16" s="1692"/>
      <c r="F16" s="1692"/>
      <c r="G16" s="1692"/>
      <c r="H16" s="1692"/>
      <c r="I16" s="1692"/>
      <c r="J16" s="1693"/>
    </row>
    <row r="17" spans="2:11" ht="27.75" customHeight="1" thickBot="1">
      <c r="B17" s="470" t="s">
        <v>667</v>
      </c>
      <c r="C17" s="471" t="s">
        <v>131</v>
      </c>
      <c r="D17" s="471" t="s">
        <v>274</v>
      </c>
      <c r="E17" s="471" t="s">
        <v>918</v>
      </c>
      <c r="F17" s="471" t="s">
        <v>950</v>
      </c>
      <c r="G17" s="471" t="s">
        <v>928</v>
      </c>
      <c r="H17" s="471" t="s">
        <v>929</v>
      </c>
      <c r="I17" s="472" t="s">
        <v>941</v>
      </c>
      <c r="J17" s="472" t="s">
        <v>1</v>
      </c>
    </row>
    <row r="18" spans="2:11" ht="15" thickBot="1">
      <c r="B18" s="473"/>
      <c r="C18" s="474"/>
      <c r="D18" s="475"/>
      <c r="E18" s="475"/>
      <c r="F18" s="476" t="s">
        <v>83</v>
      </c>
      <c r="G18" s="476" t="s">
        <v>84</v>
      </c>
      <c r="H18" s="477" t="s">
        <v>930</v>
      </c>
      <c r="I18" s="477" t="s">
        <v>813</v>
      </c>
      <c r="J18" s="478"/>
    </row>
    <row r="19" spans="2:11">
      <c r="B19" s="795" t="s">
        <v>922</v>
      </c>
      <c r="C19" s="796" t="s">
        <v>932</v>
      </c>
      <c r="D19" s="797"/>
      <c r="E19" s="798"/>
      <c r="F19" s="799"/>
      <c r="G19" s="800"/>
      <c r="H19" s="801"/>
      <c r="I19" s="802"/>
      <c r="J19" s="803"/>
    </row>
    <row r="20" spans="2:11">
      <c r="B20" s="804" t="s">
        <v>933</v>
      </c>
      <c r="C20" s="805" t="s">
        <v>855</v>
      </c>
      <c r="D20" s="806"/>
      <c r="E20" s="807"/>
      <c r="F20" s="807"/>
      <c r="G20" s="807"/>
      <c r="H20" s="807"/>
      <c r="I20" s="808"/>
      <c r="J20" s="809"/>
    </row>
    <row r="21" spans="2:11">
      <c r="B21" s="810">
        <v>1</v>
      </c>
      <c r="C21" s="811" t="s">
        <v>951</v>
      </c>
      <c r="D21" s="806" t="s">
        <v>934</v>
      </c>
      <c r="E21" s="812">
        <v>241</v>
      </c>
      <c r="F21" s="813">
        <v>246</v>
      </c>
      <c r="G21" s="813">
        <v>246</v>
      </c>
      <c r="H21" s="814">
        <f>F21-G21</f>
        <v>0</v>
      </c>
      <c r="I21" s="815">
        <f>G21/F21</f>
        <v>1</v>
      </c>
      <c r="J21" s="816"/>
    </row>
    <row r="22" spans="2:11">
      <c r="B22" s="810">
        <v>2</v>
      </c>
      <c r="C22" s="811" t="s">
        <v>1154</v>
      </c>
      <c r="D22" s="806" t="s">
        <v>934</v>
      </c>
      <c r="E22" s="817">
        <v>26</v>
      </c>
      <c r="F22" s="813">
        <v>27</v>
      </c>
      <c r="G22" s="813">
        <f>26+1</f>
        <v>27</v>
      </c>
      <c r="H22" s="814">
        <f t="shared" ref="H22:H31" si="2">F22-G22</f>
        <v>0</v>
      </c>
      <c r="I22" s="815">
        <f t="shared" ref="I22:I31" si="3">G22/F22</f>
        <v>1</v>
      </c>
      <c r="J22" s="816"/>
      <c r="K22" s="465">
        <f>241-233</f>
        <v>8</v>
      </c>
    </row>
    <row r="23" spans="2:11">
      <c r="B23" s="810">
        <v>3</v>
      </c>
      <c r="C23" s="811" t="s">
        <v>1155</v>
      </c>
      <c r="D23" s="806" t="s">
        <v>934</v>
      </c>
      <c r="E23" s="817">
        <v>3</v>
      </c>
      <c r="F23" s="813">
        <v>4</v>
      </c>
      <c r="G23" s="813">
        <f>3+1</f>
        <v>4</v>
      </c>
      <c r="H23" s="814">
        <f t="shared" si="2"/>
        <v>0</v>
      </c>
      <c r="I23" s="815">
        <f t="shared" si="3"/>
        <v>1</v>
      </c>
      <c r="J23" s="816"/>
    </row>
    <row r="24" spans="2:11">
      <c r="B24" s="810">
        <v>4</v>
      </c>
      <c r="C24" s="811" t="s">
        <v>1156</v>
      </c>
      <c r="D24" s="806" t="s">
        <v>934</v>
      </c>
      <c r="E24" s="817">
        <v>10</v>
      </c>
      <c r="F24" s="813">
        <f>10+2</f>
        <v>12</v>
      </c>
      <c r="G24" s="813">
        <f>10+2</f>
        <v>12</v>
      </c>
      <c r="H24" s="814">
        <f t="shared" si="2"/>
        <v>0</v>
      </c>
      <c r="I24" s="815">
        <f t="shared" si="3"/>
        <v>1</v>
      </c>
      <c r="J24" s="816"/>
    </row>
    <row r="25" spans="2:11">
      <c r="B25" s="810">
        <v>5</v>
      </c>
      <c r="C25" s="811" t="s">
        <v>1157</v>
      </c>
      <c r="D25" s="806" t="s">
        <v>934</v>
      </c>
      <c r="E25" s="817">
        <v>2</v>
      </c>
      <c r="F25" s="813">
        <v>2</v>
      </c>
      <c r="G25" s="813">
        <v>2</v>
      </c>
      <c r="H25" s="814">
        <f t="shared" si="2"/>
        <v>0</v>
      </c>
      <c r="I25" s="815">
        <f t="shared" si="3"/>
        <v>1</v>
      </c>
      <c r="J25" s="816"/>
    </row>
    <row r="26" spans="2:11">
      <c r="B26" s="810">
        <v>6</v>
      </c>
      <c r="C26" s="811" t="s">
        <v>1158</v>
      </c>
      <c r="D26" s="806" t="s">
        <v>934</v>
      </c>
      <c r="E26" s="817">
        <v>4</v>
      </c>
      <c r="F26" s="813">
        <v>3</v>
      </c>
      <c r="G26" s="813">
        <v>3</v>
      </c>
      <c r="H26" s="814">
        <f t="shared" si="2"/>
        <v>0</v>
      </c>
      <c r="I26" s="815">
        <f t="shared" si="3"/>
        <v>1</v>
      </c>
      <c r="J26" s="816"/>
    </row>
    <row r="27" spans="2:11">
      <c r="B27" s="810">
        <v>7</v>
      </c>
      <c r="C27" s="811" t="s">
        <v>1159</v>
      </c>
      <c r="D27" s="806" t="s">
        <v>934</v>
      </c>
      <c r="E27" s="817">
        <v>1</v>
      </c>
      <c r="F27" s="813">
        <f>1+1</f>
        <v>2</v>
      </c>
      <c r="G27" s="813">
        <f>1+1</f>
        <v>2</v>
      </c>
      <c r="H27" s="814">
        <f t="shared" si="2"/>
        <v>0</v>
      </c>
      <c r="I27" s="815">
        <f t="shared" si="3"/>
        <v>1</v>
      </c>
      <c r="J27" s="816"/>
    </row>
    <row r="28" spans="2:11">
      <c r="B28" s="810">
        <v>8</v>
      </c>
      <c r="C28" s="811" t="s">
        <v>1151</v>
      </c>
      <c r="D28" s="806" t="s">
        <v>934</v>
      </c>
      <c r="E28" s="812">
        <v>2</v>
      </c>
      <c r="F28" s="813">
        <v>3</v>
      </c>
      <c r="G28" s="813">
        <v>3</v>
      </c>
      <c r="H28" s="814">
        <f t="shared" si="2"/>
        <v>0</v>
      </c>
      <c r="I28" s="815">
        <f t="shared" si="3"/>
        <v>1</v>
      </c>
      <c r="J28" s="816"/>
    </row>
    <row r="29" spans="2:11">
      <c r="B29" s="818">
        <v>9</v>
      </c>
      <c r="C29" s="811" t="s">
        <v>1152</v>
      </c>
      <c r="D29" s="806" t="s">
        <v>934</v>
      </c>
      <c r="E29" s="819">
        <v>4</v>
      </c>
      <c r="F29" s="820">
        <v>4</v>
      </c>
      <c r="G29" s="820">
        <v>4</v>
      </c>
      <c r="H29" s="821">
        <f t="shared" si="2"/>
        <v>0</v>
      </c>
      <c r="I29" s="822">
        <f t="shared" si="3"/>
        <v>1</v>
      </c>
      <c r="J29" s="823"/>
    </row>
    <row r="30" spans="2:11">
      <c r="B30" s="818">
        <v>10</v>
      </c>
      <c r="C30" s="824" t="s">
        <v>1153</v>
      </c>
      <c r="D30" s="806" t="s">
        <v>934</v>
      </c>
      <c r="E30" s="819">
        <v>4</v>
      </c>
      <c r="F30" s="820">
        <v>4</v>
      </c>
      <c r="G30" s="820">
        <v>4</v>
      </c>
      <c r="H30" s="821">
        <f t="shared" si="2"/>
        <v>0</v>
      </c>
      <c r="I30" s="822">
        <f t="shared" si="3"/>
        <v>1</v>
      </c>
      <c r="J30" s="823"/>
    </row>
    <row r="31" spans="2:11">
      <c r="B31" s="818">
        <v>11</v>
      </c>
      <c r="C31" s="824" t="s">
        <v>1200</v>
      </c>
      <c r="D31" s="806" t="s">
        <v>934</v>
      </c>
      <c r="E31" s="819">
        <v>2</v>
      </c>
      <c r="F31" s="820">
        <v>2</v>
      </c>
      <c r="G31" s="820">
        <v>2</v>
      </c>
      <c r="H31" s="821">
        <f t="shared" si="2"/>
        <v>0</v>
      </c>
      <c r="I31" s="822">
        <f t="shared" si="3"/>
        <v>1</v>
      </c>
      <c r="J31" s="823"/>
    </row>
    <row r="32" spans="2:11">
      <c r="B32" s="972"/>
      <c r="C32" s="973" t="s">
        <v>225</v>
      </c>
      <c r="D32" s="806"/>
      <c r="E32" s="969">
        <f>SUM(E21:E31)</f>
        <v>299</v>
      </c>
      <c r="F32" s="969">
        <f>SUM(F21:F31)</f>
        <v>309</v>
      </c>
      <c r="G32" s="969">
        <f>SUM(G21:G31)</f>
        <v>309</v>
      </c>
      <c r="H32" s="969">
        <f>SUM(H21:H31)</f>
        <v>0</v>
      </c>
      <c r="I32" s="969"/>
      <c r="J32" s="814"/>
    </row>
    <row r="33" spans="2:10" hidden="1">
      <c r="B33" s="970" t="s">
        <v>931</v>
      </c>
      <c r="C33" s="971" t="s">
        <v>936</v>
      </c>
      <c r="D33" s="966"/>
      <c r="E33" s="967"/>
      <c r="F33" s="967"/>
      <c r="G33" s="967"/>
      <c r="H33" s="967"/>
      <c r="I33" s="967"/>
      <c r="J33" s="968"/>
    </row>
    <row r="34" spans="2:10" hidden="1">
      <c r="B34" s="480"/>
      <c r="C34" s="481" t="s">
        <v>935</v>
      </c>
      <c r="D34" s="482"/>
      <c r="E34" s="483"/>
      <c r="F34" s="483"/>
      <c r="G34" s="483"/>
      <c r="H34" s="483"/>
      <c r="I34" s="483"/>
      <c r="J34" s="487"/>
    </row>
    <row r="35" spans="2:10" hidden="1">
      <c r="B35" s="488">
        <v>1</v>
      </c>
      <c r="C35" s="489" t="s">
        <v>946</v>
      </c>
      <c r="D35" s="482" t="s">
        <v>122</v>
      </c>
      <c r="E35" s="1683">
        <v>241</v>
      </c>
      <c r="F35" s="490">
        <v>12</v>
      </c>
      <c r="G35" s="699">
        <v>10</v>
      </c>
      <c r="H35" s="485">
        <f t="shared" ref="H35:H42" si="4">F35-G35</f>
        <v>2</v>
      </c>
      <c r="I35" s="526">
        <f t="shared" ref="I35:I42" si="5">G35/F35</f>
        <v>0.83333333333333337</v>
      </c>
      <c r="J35" s="491"/>
    </row>
    <row r="36" spans="2:10" hidden="1">
      <c r="B36" s="488">
        <v>2</v>
      </c>
      <c r="C36" s="489" t="s">
        <v>947</v>
      </c>
      <c r="D36" s="482" t="s">
        <v>122</v>
      </c>
      <c r="E36" s="1684"/>
      <c r="F36" s="490">
        <v>12</v>
      </c>
      <c r="G36" s="699">
        <v>7</v>
      </c>
      <c r="H36" s="485">
        <f t="shared" si="4"/>
        <v>5</v>
      </c>
      <c r="I36" s="526">
        <f t="shared" si="5"/>
        <v>0.58333333333333337</v>
      </c>
      <c r="J36" s="491"/>
    </row>
    <row r="37" spans="2:10" hidden="1">
      <c r="B37" s="488">
        <v>3</v>
      </c>
      <c r="C37" s="489" t="s">
        <v>887</v>
      </c>
      <c r="D37" s="482" t="s">
        <v>122</v>
      </c>
      <c r="E37" s="1684"/>
      <c r="F37" s="490">
        <v>33</v>
      </c>
      <c r="G37" s="698">
        <v>115</v>
      </c>
      <c r="H37" s="485">
        <f t="shared" si="4"/>
        <v>-82</v>
      </c>
      <c r="I37" s="526">
        <f t="shared" si="5"/>
        <v>3.4848484848484849</v>
      </c>
      <c r="J37" s="491"/>
    </row>
    <row r="38" spans="2:10" hidden="1">
      <c r="B38" s="488">
        <v>4</v>
      </c>
      <c r="C38" s="489" t="s">
        <v>948</v>
      </c>
      <c r="D38" s="482" t="s">
        <v>122</v>
      </c>
      <c r="E38" s="1684"/>
      <c r="F38" s="490">
        <v>24</v>
      </c>
      <c r="G38" s="698">
        <v>17</v>
      </c>
      <c r="H38" s="485">
        <f t="shared" si="4"/>
        <v>7</v>
      </c>
      <c r="I38" s="526">
        <f t="shared" si="5"/>
        <v>0.70833333333333337</v>
      </c>
      <c r="J38" s="491"/>
    </row>
    <row r="39" spans="2:10" hidden="1">
      <c r="B39" s="488">
        <v>5</v>
      </c>
      <c r="C39" s="489" t="s">
        <v>884</v>
      </c>
      <c r="D39" s="482" t="s">
        <v>122</v>
      </c>
      <c r="E39" s="1684"/>
      <c r="F39" s="494">
        <v>70</v>
      </c>
      <c r="G39" s="698">
        <v>60</v>
      </c>
      <c r="H39" s="485">
        <f t="shared" si="4"/>
        <v>10</v>
      </c>
      <c r="I39" s="526">
        <f t="shared" si="5"/>
        <v>0.8571428571428571</v>
      </c>
      <c r="J39" s="491"/>
    </row>
    <row r="40" spans="2:10" hidden="1">
      <c r="B40" s="488">
        <v>6</v>
      </c>
      <c r="C40" s="489" t="s">
        <v>1010</v>
      </c>
      <c r="D40" s="482" t="s">
        <v>122</v>
      </c>
      <c r="E40" s="1684"/>
      <c r="F40" s="494">
        <v>1</v>
      </c>
      <c r="G40" s="492"/>
      <c r="H40" s="485">
        <f t="shared" si="4"/>
        <v>1</v>
      </c>
      <c r="I40" s="526">
        <f t="shared" si="5"/>
        <v>0</v>
      </c>
      <c r="J40" s="491"/>
    </row>
    <row r="41" spans="2:10" hidden="1">
      <c r="B41" s="488">
        <v>7</v>
      </c>
      <c r="C41" s="489" t="s">
        <v>885</v>
      </c>
      <c r="D41" s="482" t="s">
        <v>122</v>
      </c>
      <c r="E41" s="1684"/>
      <c r="F41" s="494">
        <v>47</v>
      </c>
      <c r="G41" s="698">
        <v>44</v>
      </c>
      <c r="H41" s="485">
        <f t="shared" si="4"/>
        <v>3</v>
      </c>
      <c r="I41" s="526">
        <f t="shared" si="5"/>
        <v>0.93617021276595747</v>
      </c>
      <c r="J41" s="491"/>
    </row>
    <row r="42" spans="2:10" hidden="1">
      <c r="B42" s="488">
        <v>8</v>
      </c>
      <c r="C42" s="489" t="s">
        <v>886</v>
      </c>
      <c r="D42" s="482" t="s">
        <v>122</v>
      </c>
      <c r="E42" s="1685"/>
      <c r="F42" s="494">
        <v>47</v>
      </c>
      <c r="G42" s="698">
        <v>38</v>
      </c>
      <c r="H42" s="485">
        <f t="shared" si="4"/>
        <v>9</v>
      </c>
      <c r="I42" s="526">
        <f t="shared" si="5"/>
        <v>0.80851063829787229</v>
      </c>
      <c r="J42" s="491"/>
    </row>
    <row r="43" spans="2:10" ht="15" hidden="1" thickBot="1">
      <c r="B43" s="495"/>
      <c r="C43" s="496" t="s">
        <v>225</v>
      </c>
      <c r="D43" s="497"/>
      <c r="E43" s="498">
        <f>SUM(E35:E42)</f>
        <v>241</v>
      </c>
      <c r="F43" s="499">
        <f>SUM(F35:F42)</f>
        <v>246</v>
      </c>
      <c r="G43" s="499">
        <f>SUM(G35:G42)</f>
        <v>291</v>
      </c>
      <c r="H43" s="499">
        <f>SUM(H35:H42)</f>
        <v>-45</v>
      </c>
      <c r="I43" s="498"/>
      <c r="J43" s="500"/>
    </row>
    <row r="44" spans="2:10" hidden="1">
      <c r="B44" s="501">
        <v>1</v>
      </c>
      <c r="C44" s="502" t="s">
        <v>391</v>
      </c>
      <c r="D44" s="486"/>
      <c r="E44" s="479"/>
      <c r="F44" s="503"/>
      <c r="G44" s="503"/>
      <c r="H44" s="503"/>
      <c r="I44" s="504"/>
      <c r="J44" s="487"/>
    </row>
    <row r="45" spans="2:10" hidden="1">
      <c r="B45" s="488" t="s">
        <v>135</v>
      </c>
      <c r="C45" s="124" t="s">
        <v>197</v>
      </c>
      <c r="D45" s="506" t="s">
        <v>160</v>
      </c>
      <c r="E45" s="1686">
        <v>12</v>
      </c>
      <c r="F45" s="507">
        <v>7</v>
      </c>
      <c r="G45" s="492">
        <v>11</v>
      </c>
      <c r="H45" s="508"/>
      <c r="I45" s="526">
        <f>G45/F45</f>
        <v>1.5714285714285714</v>
      </c>
      <c r="J45" s="491"/>
    </row>
    <row r="46" spans="2:10" hidden="1">
      <c r="B46" s="488" t="s">
        <v>136</v>
      </c>
      <c r="C46" s="124" t="s">
        <v>226</v>
      </c>
      <c r="D46" s="506" t="s">
        <v>160</v>
      </c>
      <c r="E46" s="1687"/>
      <c r="F46" s="507">
        <v>2</v>
      </c>
      <c r="G46" s="492"/>
      <c r="H46" s="508"/>
      <c r="I46" s="526">
        <f t="shared" ref="I46:I54" si="6">G46/F46</f>
        <v>0</v>
      </c>
      <c r="J46" s="491"/>
    </row>
    <row r="47" spans="2:10" hidden="1">
      <c r="B47" s="488" t="s">
        <v>137</v>
      </c>
      <c r="C47" s="124" t="s">
        <v>227</v>
      </c>
      <c r="D47" s="506" t="s">
        <v>160</v>
      </c>
      <c r="E47" s="1687"/>
      <c r="F47" s="507">
        <v>6</v>
      </c>
      <c r="G47" s="492">
        <v>3</v>
      </c>
      <c r="H47" s="508"/>
      <c r="I47" s="526">
        <f t="shared" si="6"/>
        <v>0.5</v>
      </c>
      <c r="J47" s="491"/>
    </row>
    <row r="48" spans="2:10" hidden="1">
      <c r="B48" s="488" t="s">
        <v>138</v>
      </c>
      <c r="C48" s="124" t="s">
        <v>211</v>
      </c>
      <c r="D48" s="506" t="s">
        <v>160</v>
      </c>
      <c r="E48" s="1687"/>
      <c r="F48" s="507">
        <v>12</v>
      </c>
      <c r="G48" s="492">
        <v>4</v>
      </c>
      <c r="H48" s="508"/>
      <c r="I48" s="526">
        <f t="shared" si="6"/>
        <v>0.33333333333333331</v>
      </c>
      <c r="J48" s="491"/>
    </row>
    <row r="49" spans="2:10" hidden="1">
      <c r="B49" s="488" t="s">
        <v>139</v>
      </c>
      <c r="C49" s="124" t="s">
        <v>403</v>
      </c>
      <c r="D49" s="506" t="s">
        <v>160</v>
      </c>
      <c r="E49" s="1687"/>
      <c r="F49" s="507">
        <v>4</v>
      </c>
      <c r="G49" s="492"/>
      <c r="H49" s="508"/>
      <c r="I49" s="526">
        <f t="shared" si="6"/>
        <v>0</v>
      </c>
      <c r="J49" s="491"/>
    </row>
    <row r="50" spans="2:10" hidden="1">
      <c r="B50" s="488">
        <v>2</v>
      </c>
      <c r="C50" s="481" t="s">
        <v>390</v>
      </c>
      <c r="D50" s="482"/>
      <c r="E50" s="1687"/>
      <c r="F50" s="509"/>
      <c r="G50" s="492"/>
      <c r="H50" s="508"/>
      <c r="I50" s="526"/>
      <c r="J50" s="491"/>
    </row>
    <row r="51" spans="2:10" hidden="1">
      <c r="B51" s="488" t="s">
        <v>135</v>
      </c>
      <c r="C51" s="124" t="s">
        <v>184</v>
      </c>
      <c r="D51" s="506" t="s">
        <v>160</v>
      </c>
      <c r="E51" s="1687"/>
      <c r="F51" s="507">
        <v>6</v>
      </c>
      <c r="G51" s="492">
        <v>4</v>
      </c>
      <c r="H51" s="508"/>
      <c r="I51" s="526">
        <f t="shared" si="6"/>
        <v>0.66666666666666663</v>
      </c>
      <c r="J51" s="491"/>
    </row>
    <row r="52" spans="2:10" hidden="1">
      <c r="B52" s="488" t="s">
        <v>136</v>
      </c>
      <c r="C52" s="124" t="s">
        <v>228</v>
      </c>
      <c r="D52" s="506" t="s">
        <v>160</v>
      </c>
      <c r="E52" s="1687"/>
      <c r="F52" s="507">
        <v>2</v>
      </c>
      <c r="G52" s="492"/>
      <c r="H52" s="508"/>
      <c r="I52" s="526">
        <f t="shared" si="6"/>
        <v>0</v>
      </c>
      <c r="J52" s="491"/>
    </row>
    <row r="53" spans="2:10" hidden="1">
      <c r="B53" s="488" t="s">
        <v>137</v>
      </c>
      <c r="C53" s="124" t="s">
        <v>229</v>
      </c>
      <c r="D53" s="506" t="s">
        <v>160</v>
      </c>
      <c r="E53" s="1687"/>
      <c r="F53" s="507">
        <v>1</v>
      </c>
      <c r="G53" s="492"/>
      <c r="H53" s="508"/>
      <c r="I53" s="526">
        <f t="shared" si="6"/>
        <v>0</v>
      </c>
      <c r="J53" s="491"/>
    </row>
    <row r="54" spans="2:10" ht="15" hidden="1" thickBot="1">
      <c r="B54" s="559" t="s">
        <v>138</v>
      </c>
      <c r="C54" s="560" t="s">
        <v>215</v>
      </c>
      <c r="D54" s="561" t="s">
        <v>160</v>
      </c>
      <c r="E54" s="1687"/>
      <c r="F54" s="562">
        <v>1</v>
      </c>
      <c r="G54" s="563"/>
      <c r="H54" s="558"/>
      <c r="I54" s="564">
        <f t="shared" si="6"/>
        <v>0</v>
      </c>
      <c r="J54" s="565"/>
    </row>
    <row r="55" spans="2:10" ht="15" hidden="1" thickBot="1">
      <c r="B55" s="566"/>
      <c r="C55" s="567" t="s">
        <v>938</v>
      </c>
      <c r="D55" s="568"/>
      <c r="E55" s="569">
        <f>SUM(E45:E48)</f>
        <v>12</v>
      </c>
      <c r="F55" s="569">
        <f>SUM(F45:F54)</f>
        <v>41</v>
      </c>
      <c r="G55" s="569">
        <f>SUM(G45:G48)</f>
        <v>18</v>
      </c>
      <c r="H55" s="569">
        <f>SUM(H45:H49)</f>
        <v>0</v>
      </c>
      <c r="I55" s="569"/>
      <c r="J55" s="570"/>
    </row>
    <row r="56" spans="2:10" hidden="1">
      <c r="B56" s="501">
        <v>1</v>
      </c>
      <c r="C56" s="502" t="s">
        <v>1011</v>
      </c>
      <c r="D56" s="486"/>
      <c r="E56" s="511"/>
      <c r="F56" s="511"/>
      <c r="G56" s="511"/>
      <c r="H56" s="511"/>
      <c r="I56" s="512"/>
      <c r="J56" s="505"/>
    </row>
    <row r="57" spans="2:10" hidden="1">
      <c r="B57" s="488" t="s">
        <v>135</v>
      </c>
      <c r="C57" s="124" t="s">
        <v>198</v>
      </c>
      <c r="D57" s="506" t="s">
        <v>160</v>
      </c>
      <c r="E57" s="1688">
        <v>5</v>
      </c>
      <c r="F57" s="507">
        <v>0</v>
      </c>
      <c r="G57" s="508"/>
      <c r="H57" s="513"/>
      <c r="I57" s="526"/>
      <c r="J57" s="491"/>
    </row>
    <row r="58" spans="2:10" hidden="1">
      <c r="B58" s="488" t="s">
        <v>136</v>
      </c>
      <c r="C58" s="124" t="s">
        <v>185</v>
      </c>
      <c r="D58" s="506" t="s">
        <v>160</v>
      </c>
      <c r="E58" s="1689"/>
      <c r="F58" s="507">
        <v>1</v>
      </c>
      <c r="G58" s="508"/>
      <c r="H58" s="513"/>
      <c r="I58" s="526"/>
      <c r="J58" s="491"/>
    </row>
    <row r="59" spans="2:10" hidden="1">
      <c r="B59" s="488" t="s">
        <v>137</v>
      </c>
      <c r="C59" s="124" t="s">
        <v>217</v>
      </c>
      <c r="D59" s="506" t="s">
        <v>160</v>
      </c>
      <c r="E59" s="1689"/>
      <c r="F59" s="507">
        <v>1</v>
      </c>
      <c r="G59" s="508"/>
      <c r="H59" s="513"/>
      <c r="I59" s="526"/>
      <c r="J59" s="491"/>
    </row>
    <row r="60" spans="2:10" hidden="1">
      <c r="B60" s="488" t="s">
        <v>138</v>
      </c>
      <c r="C60" s="124" t="s">
        <v>214</v>
      </c>
      <c r="D60" s="506" t="s">
        <v>160</v>
      </c>
      <c r="E60" s="1689"/>
      <c r="F60" s="507">
        <f>E60</f>
        <v>0</v>
      </c>
      <c r="G60" s="508"/>
      <c r="H60" s="513"/>
      <c r="I60" s="526"/>
      <c r="J60" s="491"/>
    </row>
    <row r="61" spans="2:10" hidden="1">
      <c r="B61" s="488" t="s">
        <v>139</v>
      </c>
      <c r="C61" s="124" t="s">
        <v>210</v>
      </c>
      <c r="D61" s="506" t="s">
        <v>160</v>
      </c>
      <c r="E61" s="1689"/>
      <c r="F61" s="507">
        <f>E61</f>
        <v>0</v>
      </c>
      <c r="G61" s="508"/>
      <c r="H61" s="513"/>
      <c r="I61" s="526"/>
      <c r="J61" s="491"/>
    </row>
    <row r="62" spans="2:10" hidden="1">
      <c r="B62" s="488">
        <v>2</v>
      </c>
      <c r="C62" s="514" t="s">
        <v>499</v>
      </c>
      <c r="D62" s="482"/>
      <c r="E62" s="1689"/>
      <c r="F62" s="492"/>
      <c r="G62" s="508"/>
      <c r="H62" s="513"/>
      <c r="I62" s="484"/>
      <c r="J62" s="491"/>
    </row>
    <row r="63" spans="2:10" hidden="1">
      <c r="B63" s="488" t="s">
        <v>135</v>
      </c>
      <c r="C63" s="124" t="s">
        <v>250</v>
      </c>
      <c r="D63" s="506" t="s">
        <v>160</v>
      </c>
      <c r="E63" s="1689"/>
      <c r="F63" s="507">
        <f>E63</f>
        <v>0</v>
      </c>
      <c r="G63" s="508"/>
      <c r="H63" s="513"/>
      <c r="I63" s="484"/>
      <c r="J63" s="491"/>
    </row>
    <row r="64" spans="2:10" hidden="1">
      <c r="B64" s="488" t="s">
        <v>136</v>
      </c>
      <c r="C64" s="124" t="s">
        <v>173</v>
      </c>
      <c r="D64" s="506" t="s">
        <v>160</v>
      </c>
      <c r="E64" s="1689"/>
      <c r="F64" s="507">
        <v>3</v>
      </c>
      <c r="G64" s="508">
        <v>2</v>
      </c>
      <c r="H64" s="513"/>
      <c r="I64" s="484"/>
      <c r="J64" s="491"/>
    </row>
    <row r="65" spans="2:10" hidden="1">
      <c r="B65" s="488" t="s">
        <v>137</v>
      </c>
      <c r="C65" s="124" t="s">
        <v>219</v>
      </c>
      <c r="D65" s="506" t="s">
        <v>160</v>
      </c>
      <c r="E65" s="1689"/>
      <c r="F65" s="507">
        <f>E65</f>
        <v>0</v>
      </c>
      <c r="G65" s="508"/>
      <c r="H65" s="513"/>
      <c r="I65" s="484"/>
      <c r="J65" s="491"/>
    </row>
    <row r="66" spans="2:10" hidden="1">
      <c r="B66" s="488" t="s">
        <v>138</v>
      </c>
      <c r="C66" s="124" t="s">
        <v>230</v>
      </c>
      <c r="D66" s="506" t="s">
        <v>160</v>
      </c>
      <c r="E66" s="1689"/>
      <c r="F66" s="507">
        <f>E66</f>
        <v>0</v>
      </c>
      <c r="G66" s="508"/>
      <c r="H66" s="513"/>
      <c r="I66" s="484"/>
      <c r="J66" s="491"/>
    </row>
    <row r="67" spans="2:10" hidden="1">
      <c r="B67" s="488" t="s">
        <v>139</v>
      </c>
      <c r="C67" s="124" t="s">
        <v>216</v>
      </c>
      <c r="D67" s="506" t="s">
        <v>160</v>
      </c>
      <c r="E67" s="1689"/>
      <c r="F67" s="507">
        <f>E67</f>
        <v>0</v>
      </c>
      <c r="G67" s="508"/>
      <c r="H67" s="513"/>
      <c r="I67" s="484"/>
      <c r="J67" s="491"/>
    </row>
    <row r="68" spans="2:10" hidden="1">
      <c r="B68" s="488" t="s">
        <v>1201</v>
      </c>
      <c r="C68" s="124" t="s">
        <v>430</v>
      </c>
      <c r="D68" s="506" t="s">
        <v>160</v>
      </c>
      <c r="E68" s="1690"/>
      <c r="F68" s="507">
        <v>1</v>
      </c>
      <c r="G68" s="508"/>
      <c r="H68" s="513"/>
      <c r="I68" s="484"/>
      <c r="J68" s="491"/>
    </row>
    <row r="69" spans="2:10" ht="15" hidden="1" thickBot="1">
      <c r="B69" s="495"/>
      <c r="C69" s="496" t="s">
        <v>939</v>
      </c>
      <c r="D69" s="510"/>
      <c r="E69" s="515">
        <f>SUM(E57:E68)</f>
        <v>5</v>
      </c>
      <c r="F69" s="515">
        <f>SUM(F57:F68)</f>
        <v>6</v>
      </c>
      <c r="G69" s="516">
        <f>SUM(G57:G68)</f>
        <v>2</v>
      </c>
      <c r="H69" s="515">
        <f>SUM(H57:H61)</f>
        <v>0</v>
      </c>
      <c r="I69" s="516">
        <f>SUM(I57:I60)</f>
        <v>0</v>
      </c>
      <c r="J69" s="517"/>
    </row>
    <row r="70" spans="2:10" hidden="1">
      <c r="B70" s="501"/>
      <c r="C70" s="502" t="s">
        <v>500</v>
      </c>
      <c r="D70" s="486"/>
      <c r="E70" s="479"/>
      <c r="F70" s="503"/>
      <c r="G70" s="503"/>
      <c r="H70" s="503"/>
      <c r="I70" s="504"/>
      <c r="J70" s="505"/>
    </row>
    <row r="71" spans="2:10" hidden="1">
      <c r="B71" s="488" t="s">
        <v>135</v>
      </c>
      <c r="C71" s="124" t="s">
        <v>220</v>
      </c>
      <c r="D71" s="506" t="s">
        <v>160</v>
      </c>
      <c r="E71" s="1688">
        <v>29</v>
      </c>
      <c r="F71" s="507">
        <v>0</v>
      </c>
      <c r="G71" s="492"/>
      <c r="H71" s="513"/>
      <c r="I71" s="493"/>
      <c r="J71" s="491"/>
    </row>
    <row r="72" spans="2:10" hidden="1">
      <c r="B72" s="488" t="s">
        <v>136</v>
      </c>
      <c r="C72" s="124" t="s">
        <v>178</v>
      </c>
      <c r="D72" s="506" t="s">
        <v>160</v>
      </c>
      <c r="E72" s="1689"/>
      <c r="F72" s="507">
        <v>2</v>
      </c>
      <c r="G72" s="492"/>
      <c r="H72" s="513"/>
      <c r="I72" s="484"/>
      <c r="J72" s="491"/>
    </row>
    <row r="73" spans="2:10" hidden="1">
      <c r="B73" s="488" t="s">
        <v>137</v>
      </c>
      <c r="C73" s="124" t="s">
        <v>183</v>
      </c>
      <c r="D73" s="506" t="s">
        <v>160</v>
      </c>
      <c r="E73" s="1689"/>
      <c r="F73" s="507">
        <f>E73</f>
        <v>0</v>
      </c>
      <c r="G73" s="492"/>
      <c r="H73" s="513"/>
      <c r="I73" s="484"/>
      <c r="J73" s="491"/>
    </row>
    <row r="74" spans="2:10" hidden="1">
      <c r="B74" s="488" t="s">
        <v>138</v>
      </c>
      <c r="C74" s="124" t="s">
        <v>231</v>
      </c>
      <c r="D74" s="506" t="s">
        <v>160</v>
      </c>
      <c r="E74" s="1689"/>
      <c r="F74" s="507">
        <f>E74</f>
        <v>0</v>
      </c>
      <c r="G74" s="492"/>
      <c r="H74" s="513"/>
      <c r="I74" s="484"/>
      <c r="J74" s="491"/>
    </row>
    <row r="75" spans="2:10" hidden="1">
      <c r="B75" s="488" t="s">
        <v>139</v>
      </c>
      <c r="C75" s="124" t="s">
        <v>208</v>
      </c>
      <c r="D75" s="506" t="s">
        <v>160</v>
      </c>
      <c r="E75" s="1689"/>
      <c r="F75" s="507">
        <f>E75</f>
        <v>0</v>
      </c>
      <c r="G75" s="492"/>
      <c r="H75" s="513"/>
      <c r="I75" s="484"/>
      <c r="J75" s="491"/>
    </row>
    <row r="76" spans="2:10" hidden="1">
      <c r="B76" s="488" t="s">
        <v>140</v>
      </c>
      <c r="C76" s="124" t="s">
        <v>243</v>
      </c>
      <c r="D76" s="506" t="s">
        <v>160</v>
      </c>
      <c r="E76" s="1689"/>
      <c r="F76" s="507">
        <f>E76</f>
        <v>0</v>
      </c>
      <c r="G76" s="492"/>
      <c r="H76" s="513"/>
      <c r="I76" s="484"/>
      <c r="J76" s="491"/>
    </row>
    <row r="77" spans="2:10" hidden="1">
      <c r="B77" s="488" t="s">
        <v>141</v>
      </c>
      <c r="C77" s="124" t="s">
        <v>240</v>
      </c>
      <c r="D77" s="506" t="s">
        <v>160</v>
      </c>
      <c r="E77" s="1689"/>
      <c r="F77" s="507">
        <f>E77</f>
        <v>0</v>
      </c>
      <c r="G77" s="492"/>
      <c r="H77" s="513"/>
      <c r="I77" s="484"/>
      <c r="J77" s="491"/>
    </row>
    <row r="78" spans="2:10" hidden="1">
      <c r="B78" s="488">
        <v>2</v>
      </c>
      <c r="C78" s="518" t="s">
        <v>389</v>
      </c>
      <c r="D78" s="482"/>
      <c r="E78" s="1689"/>
      <c r="F78" s="492"/>
      <c r="G78" s="492"/>
      <c r="H78" s="513"/>
      <c r="I78" s="484"/>
      <c r="J78" s="491"/>
    </row>
    <row r="79" spans="2:10" hidden="1">
      <c r="B79" s="488" t="s">
        <v>135</v>
      </c>
      <c r="C79" s="124" t="s">
        <v>221</v>
      </c>
      <c r="D79" s="506" t="s">
        <v>160</v>
      </c>
      <c r="E79" s="1689"/>
      <c r="F79" s="492">
        <v>0</v>
      </c>
      <c r="G79" s="492"/>
      <c r="H79" s="513"/>
      <c r="I79" s="484"/>
      <c r="J79" s="491"/>
    </row>
    <row r="80" spans="2:10" hidden="1">
      <c r="B80" s="488" t="s">
        <v>136</v>
      </c>
      <c r="C80" s="124" t="s">
        <v>188</v>
      </c>
      <c r="D80" s="506" t="s">
        <v>160</v>
      </c>
      <c r="E80" s="1689"/>
      <c r="F80" s="492">
        <v>1</v>
      </c>
      <c r="G80" s="492">
        <v>5</v>
      </c>
      <c r="H80" s="513"/>
      <c r="I80" s="484"/>
      <c r="J80" s="491"/>
    </row>
    <row r="81" spans="2:10" hidden="1">
      <c r="B81" s="488" t="s">
        <v>137</v>
      </c>
      <c r="C81" s="124" t="s">
        <v>213</v>
      </c>
      <c r="D81" s="506" t="s">
        <v>160</v>
      </c>
      <c r="E81" s="1689"/>
      <c r="F81" s="492">
        <v>2</v>
      </c>
      <c r="G81" s="492">
        <v>2</v>
      </c>
      <c r="H81" s="513"/>
      <c r="I81" s="484"/>
      <c r="J81" s="491"/>
    </row>
    <row r="82" spans="2:10" hidden="1">
      <c r="B82" s="488" t="s">
        <v>138</v>
      </c>
      <c r="C82" s="124" t="s">
        <v>212</v>
      </c>
      <c r="D82" s="506" t="s">
        <v>160</v>
      </c>
      <c r="E82" s="1689"/>
      <c r="F82" s="492">
        <v>0</v>
      </c>
      <c r="G82" s="492"/>
      <c r="H82" s="513"/>
      <c r="I82" s="484"/>
      <c r="J82" s="491"/>
    </row>
    <row r="83" spans="2:10" hidden="1">
      <c r="B83" s="488" t="s">
        <v>139</v>
      </c>
      <c r="C83" s="124" t="s">
        <v>209</v>
      </c>
      <c r="D83" s="506" t="s">
        <v>160</v>
      </c>
      <c r="E83" s="1689"/>
      <c r="F83" s="492">
        <v>1</v>
      </c>
      <c r="G83" s="492">
        <v>1</v>
      </c>
      <c r="H83" s="513"/>
      <c r="I83" s="484"/>
      <c r="J83" s="491"/>
    </row>
    <row r="84" spans="2:10" hidden="1">
      <c r="B84" s="488" t="s">
        <v>140</v>
      </c>
      <c r="C84" s="124" t="s">
        <v>186</v>
      </c>
      <c r="D84" s="506" t="s">
        <v>160</v>
      </c>
      <c r="E84" s="1689"/>
      <c r="F84" s="492">
        <v>2</v>
      </c>
      <c r="G84" s="492">
        <v>2</v>
      </c>
      <c r="H84" s="513"/>
      <c r="I84" s="484"/>
      <c r="J84" s="491"/>
    </row>
    <row r="85" spans="2:10" hidden="1">
      <c r="B85" s="488" t="s">
        <v>141</v>
      </c>
      <c r="C85" s="124" t="s">
        <v>218</v>
      </c>
      <c r="D85" s="506" t="s">
        <v>160</v>
      </c>
      <c r="E85" s="1689"/>
      <c r="F85" s="492">
        <v>2</v>
      </c>
      <c r="G85" s="492">
        <v>2</v>
      </c>
      <c r="H85" s="513"/>
      <c r="I85" s="484"/>
      <c r="J85" s="491"/>
    </row>
    <row r="86" spans="2:10" hidden="1">
      <c r="B86" s="488" t="s">
        <v>142</v>
      </c>
      <c r="C86" s="124" t="s">
        <v>431</v>
      </c>
      <c r="D86" s="506" t="s">
        <v>160</v>
      </c>
      <c r="E86" s="1690"/>
      <c r="F86" s="492">
        <v>2</v>
      </c>
      <c r="G86" s="492"/>
      <c r="H86" s="513"/>
      <c r="I86" s="484"/>
      <c r="J86" s="491"/>
    </row>
    <row r="87" spans="2:10" ht="15" hidden="1" thickBot="1">
      <c r="B87" s="495"/>
      <c r="C87" s="496" t="s">
        <v>949</v>
      </c>
      <c r="D87" s="510"/>
      <c r="E87" s="516">
        <f>SUM(E71:E76)</f>
        <v>29</v>
      </c>
      <c r="F87" s="516">
        <f>SUM(F71:F86)</f>
        <v>12</v>
      </c>
      <c r="G87" s="516">
        <f>SUM(G71:G76)</f>
        <v>0</v>
      </c>
      <c r="H87" s="515">
        <f>SUM(H71:H76)</f>
        <v>0</v>
      </c>
      <c r="I87" s="519">
        <f>SUM(I71:I76)</f>
        <v>0</v>
      </c>
      <c r="J87" s="517"/>
    </row>
    <row r="88" spans="2:10" ht="15" hidden="1" thickBot="1">
      <c r="B88" s="520"/>
      <c r="C88" s="521" t="s">
        <v>940</v>
      </c>
      <c r="D88" s="522"/>
      <c r="E88" s="523">
        <f>E43+E55+E69+E87</f>
        <v>287</v>
      </c>
      <c r="F88" s="523">
        <f>F43+F55+F69+F87</f>
        <v>305</v>
      </c>
      <c r="G88" s="523">
        <f>G43+G55+G69+G87</f>
        <v>311</v>
      </c>
      <c r="H88" s="524">
        <f>H43+H55+H69+H87</f>
        <v>-45</v>
      </c>
      <c r="I88" s="523">
        <f>I43+I55+I69+I87</f>
        <v>0</v>
      </c>
      <c r="J88" s="525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F10" sqref="F1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3"/>
    <col min="11" max="16384" width="9.1796875" style="2"/>
  </cols>
  <sheetData>
    <row r="1" spans="1:15" s="9" customFormat="1" ht="17">
      <c r="A1" s="1695" t="s">
        <v>120</v>
      </c>
      <c r="B1" s="1696"/>
      <c r="C1" s="1696"/>
      <c r="D1" s="1696"/>
      <c r="E1" s="1696"/>
      <c r="F1" s="1696"/>
      <c r="G1" s="1696"/>
      <c r="H1" s="1696"/>
      <c r="I1" s="1696"/>
    </row>
    <row r="2" spans="1:15" s="9" customFormat="1" ht="17">
      <c r="A2" s="665" t="str">
        <f>Foundation!A2</f>
        <v xml:space="preserve"> TA413 : 765 KV D/C Bikaner III - Neemrana II TL02</v>
      </c>
      <c r="B2" s="666"/>
      <c r="C2" s="666"/>
      <c r="D2" s="666"/>
      <c r="E2" s="666"/>
      <c r="F2" s="666"/>
      <c r="G2" s="666"/>
      <c r="H2" s="666"/>
      <c r="I2" s="666"/>
    </row>
    <row r="3" spans="1:15" s="9" customFormat="1" ht="17">
      <c r="A3" s="1695" t="s">
        <v>144</v>
      </c>
      <c r="B3" s="1696"/>
      <c r="C3" s="1696"/>
      <c r="D3" s="1696"/>
      <c r="E3" s="1696"/>
      <c r="F3" s="1696"/>
      <c r="G3" s="1696"/>
      <c r="H3" s="1696"/>
      <c r="I3" s="1696"/>
    </row>
    <row r="4" spans="1:15" ht="15.5">
      <c r="A4" s="1613"/>
      <c r="B4" s="1613"/>
      <c r="C4" s="1613"/>
      <c r="D4" s="1613"/>
      <c r="E4" s="1613"/>
      <c r="F4" s="1613"/>
      <c r="G4" s="1613"/>
      <c r="H4" s="1694"/>
      <c r="I4" s="1694"/>
      <c r="J4" s="2"/>
    </row>
    <row r="5" spans="1:15" ht="43.5">
      <c r="A5" s="41" t="s">
        <v>20</v>
      </c>
      <c r="B5" s="41" t="s">
        <v>131</v>
      </c>
      <c r="C5" s="78" t="s">
        <v>88</v>
      </c>
      <c r="D5" s="78" t="s">
        <v>245</v>
      </c>
      <c r="E5" s="78" t="s">
        <v>246</v>
      </c>
      <c r="F5" s="73" t="s">
        <v>89</v>
      </c>
      <c r="G5" s="78" t="s">
        <v>90</v>
      </c>
      <c r="H5" s="73" t="s">
        <v>222</v>
      </c>
      <c r="I5" s="73" t="s">
        <v>32</v>
      </c>
      <c r="J5" s="2"/>
    </row>
    <row r="6" spans="1:15">
      <c r="A6" s="79" t="s">
        <v>83</v>
      </c>
      <c r="B6" s="80" t="s">
        <v>101</v>
      </c>
      <c r="C6" s="78"/>
      <c r="D6" s="78"/>
      <c r="E6" s="78"/>
      <c r="F6" s="464"/>
      <c r="G6" s="78"/>
      <c r="H6" s="73"/>
      <c r="I6" s="73"/>
      <c r="J6" s="2"/>
    </row>
    <row r="7" spans="1:15" ht="15.5">
      <c r="A7" s="3" t="s">
        <v>135</v>
      </c>
      <c r="B7" s="124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1">
        <f>+E7-F7</f>
        <v>0</v>
      </c>
      <c r="H7" s="125" t="s">
        <v>1520</v>
      </c>
      <c r="I7" s="62"/>
      <c r="J7" s="143">
        <f>F7/E7</f>
        <v>1</v>
      </c>
      <c r="M7" s="180">
        <f>D7+D8</f>
        <v>10480</v>
      </c>
      <c r="N7" s="2">
        <f>G7+G8</f>
        <v>0</v>
      </c>
      <c r="O7" s="143">
        <f>N7/M7</f>
        <v>0</v>
      </c>
    </row>
    <row r="8" spans="1:15" ht="15.5">
      <c r="A8" s="3" t="s">
        <v>136</v>
      </c>
      <c r="B8" s="124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1">
        <f>+E8-F8</f>
        <v>0</v>
      </c>
      <c r="H8" s="125" t="s">
        <v>1520</v>
      </c>
      <c r="I8" s="62"/>
      <c r="J8" s="143">
        <f t="shared" ref="J8:J37" si="0">F8/E8</f>
        <v>1</v>
      </c>
    </row>
    <row r="9" spans="1:15" ht="15.5">
      <c r="A9" s="79" t="s">
        <v>84</v>
      </c>
      <c r="B9" s="80" t="s">
        <v>983</v>
      </c>
      <c r="C9" s="3" t="s">
        <v>143</v>
      </c>
      <c r="D9" s="3">
        <v>4095</v>
      </c>
      <c r="E9" s="29">
        <v>4285.0559999999996</v>
      </c>
      <c r="F9" s="734">
        <v>4285</v>
      </c>
      <c r="G9" s="1070">
        <f>+E9-F9</f>
        <v>5.599999999958527E-2</v>
      </c>
      <c r="H9" s="125" t="s">
        <v>340</v>
      </c>
      <c r="I9" s="62"/>
      <c r="J9" s="143">
        <f t="shared" si="0"/>
        <v>0.99998693132598515</v>
      </c>
      <c r="K9" s="2" t="s">
        <v>993</v>
      </c>
      <c r="L9" s="142">
        <f>E9-F9</f>
        <v>5.599999999958527E-2</v>
      </c>
      <c r="O9" s="180"/>
    </row>
    <row r="10" spans="1:15" ht="15.5">
      <c r="A10" s="79" t="s">
        <v>85</v>
      </c>
      <c r="B10" s="80" t="s">
        <v>125</v>
      </c>
      <c r="C10" s="3" t="s">
        <v>143</v>
      </c>
      <c r="D10" s="81">
        <v>114</v>
      </c>
      <c r="E10" s="29">
        <v>121.471</v>
      </c>
      <c r="F10" s="557">
        <f>E10</f>
        <v>121.471</v>
      </c>
      <c r="G10" s="947">
        <f>+E10-F10</f>
        <v>0</v>
      </c>
      <c r="H10" s="125" t="s">
        <v>339</v>
      </c>
      <c r="I10" s="62"/>
      <c r="J10" s="143">
        <f t="shared" si="0"/>
        <v>1</v>
      </c>
      <c r="K10" s="2" t="s">
        <v>993</v>
      </c>
      <c r="M10" s="193"/>
    </row>
    <row r="11" spans="1:15">
      <c r="A11" s="79" t="s">
        <v>86</v>
      </c>
      <c r="B11" s="80" t="s">
        <v>132</v>
      </c>
      <c r="C11" s="3"/>
      <c r="D11" s="81"/>
      <c r="E11" s="81"/>
      <c r="F11" s="65"/>
      <c r="G11" s="611"/>
      <c r="H11" s="10"/>
      <c r="I11" s="58"/>
    </row>
    <row r="12" spans="1:15" ht="15.5">
      <c r="A12" s="3" t="s">
        <v>135</v>
      </c>
      <c r="B12" s="61" t="s">
        <v>315</v>
      </c>
      <c r="C12" s="3" t="s">
        <v>126</v>
      </c>
      <c r="D12" s="3">
        <v>1446</v>
      </c>
      <c r="E12" s="3">
        <v>1476</v>
      </c>
      <c r="F12" s="65">
        <v>1476</v>
      </c>
      <c r="G12" s="611">
        <f>+E12-F12</f>
        <v>0</v>
      </c>
      <c r="H12" s="125" t="s">
        <v>341</v>
      </c>
      <c r="I12" s="62"/>
      <c r="J12" s="143">
        <f t="shared" si="0"/>
        <v>1</v>
      </c>
    </row>
    <row r="13" spans="1:15" ht="15.5">
      <c r="A13" s="3" t="s">
        <v>136</v>
      </c>
      <c r="B13" s="61" t="s">
        <v>316</v>
      </c>
      <c r="C13" s="3" t="s">
        <v>126</v>
      </c>
      <c r="D13" s="3">
        <v>88</v>
      </c>
      <c r="E13" s="3">
        <v>86</v>
      </c>
      <c r="F13" s="65">
        <v>86</v>
      </c>
      <c r="G13" s="611">
        <f t="shared" ref="G13:G19" si="1">+E13-F13</f>
        <v>0</v>
      </c>
      <c r="H13" s="125" t="s">
        <v>341</v>
      </c>
      <c r="I13" s="62"/>
      <c r="J13" s="143">
        <f t="shared" si="0"/>
        <v>1</v>
      </c>
    </row>
    <row r="14" spans="1:15" ht="15.5">
      <c r="A14" s="3" t="s">
        <v>137</v>
      </c>
      <c r="B14" s="62" t="s">
        <v>317</v>
      </c>
      <c r="C14" s="3" t="s">
        <v>126</v>
      </c>
      <c r="D14" s="3">
        <v>564</v>
      </c>
      <c r="E14" s="3">
        <v>720</v>
      </c>
      <c r="F14" s="65">
        <v>720</v>
      </c>
      <c r="G14" s="611">
        <f t="shared" si="1"/>
        <v>0</v>
      </c>
      <c r="H14" s="125" t="s">
        <v>341</v>
      </c>
      <c r="I14" s="62"/>
      <c r="J14" s="143">
        <f t="shared" si="0"/>
        <v>1</v>
      </c>
      <c r="L14" s="142"/>
    </row>
    <row r="15" spans="1:15">
      <c r="A15" s="79" t="s">
        <v>123</v>
      </c>
      <c r="B15" s="80" t="s">
        <v>984</v>
      </c>
      <c r="C15" s="3"/>
      <c r="D15" s="3"/>
      <c r="E15" s="3"/>
      <c r="F15" s="65"/>
      <c r="G15" s="611"/>
      <c r="H15" s="10"/>
      <c r="I15" s="62"/>
      <c r="L15" s="180"/>
    </row>
    <row r="16" spans="1:15" ht="15.5">
      <c r="A16" s="3" t="s">
        <v>135</v>
      </c>
      <c r="B16" s="61" t="s">
        <v>318</v>
      </c>
      <c r="C16" s="3" t="s">
        <v>122</v>
      </c>
      <c r="D16" s="3">
        <v>2048</v>
      </c>
      <c r="E16" s="3">
        <f>D16</f>
        <v>2048</v>
      </c>
      <c r="F16" s="65">
        <v>2048</v>
      </c>
      <c r="G16" s="1070">
        <f>+E16-F16</f>
        <v>0</v>
      </c>
      <c r="H16" s="125" t="s">
        <v>341</v>
      </c>
      <c r="I16" s="62"/>
      <c r="J16" s="143">
        <f t="shared" si="0"/>
        <v>1</v>
      </c>
    </row>
    <row r="17" spans="1:13" ht="15.5">
      <c r="A17" s="3" t="s">
        <v>136</v>
      </c>
      <c r="B17" s="61" t="s">
        <v>319</v>
      </c>
      <c r="C17" s="3" t="s">
        <v>122</v>
      </c>
      <c r="D17" s="3">
        <v>683</v>
      </c>
      <c r="E17" s="3">
        <f>D17</f>
        <v>683</v>
      </c>
      <c r="F17" s="65">
        <v>683</v>
      </c>
      <c r="G17" s="1070">
        <f t="shared" si="1"/>
        <v>0</v>
      </c>
      <c r="H17" s="125" t="s">
        <v>341</v>
      </c>
      <c r="I17" s="62"/>
      <c r="J17" s="143">
        <f t="shared" si="0"/>
        <v>1</v>
      </c>
    </row>
    <row r="18" spans="1:13" ht="15.5">
      <c r="A18" s="3" t="s">
        <v>137</v>
      </c>
      <c r="B18" s="61" t="s">
        <v>320</v>
      </c>
      <c r="C18" s="3" t="s">
        <v>122</v>
      </c>
      <c r="D18" s="3">
        <v>12054</v>
      </c>
      <c r="E18" s="3">
        <v>13002</v>
      </c>
      <c r="F18" s="65">
        <v>13002</v>
      </c>
      <c r="G18" s="1070">
        <f t="shared" si="1"/>
        <v>0</v>
      </c>
      <c r="H18" s="125" t="s">
        <v>341</v>
      </c>
      <c r="I18" s="62"/>
      <c r="J18" s="143">
        <f t="shared" si="0"/>
        <v>1</v>
      </c>
    </row>
    <row r="19" spans="1:13" ht="15.5">
      <c r="A19" s="3" t="s">
        <v>138</v>
      </c>
      <c r="B19" s="61" t="s">
        <v>321</v>
      </c>
      <c r="C19" s="3" t="s">
        <v>122</v>
      </c>
      <c r="D19" s="3">
        <v>1380</v>
      </c>
      <c r="E19" s="3">
        <v>2225</v>
      </c>
      <c r="F19" s="65">
        <v>2225</v>
      </c>
      <c r="G19" s="1070">
        <f t="shared" si="1"/>
        <v>0</v>
      </c>
      <c r="H19" s="125" t="s">
        <v>341</v>
      </c>
      <c r="I19" s="62"/>
      <c r="J19" s="143">
        <f t="shared" si="0"/>
        <v>1</v>
      </c>
    </row>
    <row r="20" spans="1:13">
      <c r="A20" s="79" t="s">
        <v>124</v>
      </c>
      <c r="B20" s="80" t="s">
        <v>133</v>
      </c>
      <c r="C20" s="3"/>
      <c r="D20" s="3"/>
      <c r="E20" s="3"/>
      <c r="F20" s="65"/>
      <c r="G20" s="1070"/>
      <c r="H20" s="10"/>
      <c r="I20" s="58"/>
    </row>
    <row r="21" spans="1:13" ht="15.5">
      <c r="A21" s="3" t="s">
        <v>136</v>
      </c>
      <c r="B21" s="61" t="s">
        <v>157</v>
      </c>
      <c r="C21" s="3" t="s">
        <v>122</v>
      </c>
      <c r="D21" s="3">
        <v>335</v>
      </c>
      <c r="E21" s="3">
        <v>366</v>
      </c>
      <c r="F21" s="65">
        <v>366</v>
      </c>
      <c r="G21" s="1070">
        <f t="shared" ref="G21:G43" si="2">+E21-F21</f>
        <v>0</v>
      </c>
      <c r="H21" s="125" t="s">
        <v>341</v>
      </c>
      <c r="I21" s="62"/>
      <c r="J21" s="143">
        <f t="shared" si="0"/>
        <v>1</v>
      </c>
    </row>
    <row r="22" spans="1:13" ht="15.5">
      <c r="A22" s="3" t="s">
        <v>137</v>
      </c>
      <c r="B22" s="61" t="s">
        <v>128</v>
      </c>
      <c r="C22" s="3" t="s">
        <v>122</v>
      </c>
      <c r="D22" s="3">
        <v>670</v>
      </c>
      <c r="E22" s="3">
        <v>732</v>
      </c>
      <c r="F22" s="65">
        <v>732</v>
      </c>
      <c r="G22" s="1070">
        <f t="shared" si="2"/>
        <v>0</v>
      </c>
      <c r="H22" s="125" t="s">
        <v>341</v>
      </c>
      <c r="I22" s="62"/>
      <c r="J22" s="143">
        <f t="shared" si="0"/>
        <v>1</v>
      </c>
    </row>
    <row r="23" spans="1:13" ht="22.15" customHeight="1">
      <c r="A23" s="3" t="s">
        <v>138</v>
      </c>
      <c r="B23" s="61" t="s">
        <v>129</v>
      </c>
      <c r="C23" s="3" t="s">
        <v>122</v>
      </c>
      <c r="D23" s="3">
        <v>241</v>
      </c>
      <c r="E23" s="3">
        <v>246</v>
      </c>
      <c r="F23" s="65">
        <v>246</v>
      </c>
      <c r="G23" s="1070">
        <f t="shared" si="2"/>
        <v>0</v>
      </c>
      <c r="H23" s="125" t="s">
        <v>341</v>
      </c>
      <c r="I23" s="62"/>
      <c r="J23" s="143">
        <f t="shared" si="0"/>
        <v>1</v>
      </c>
    </row>
    <row r="24" spans="1:13" ht="15.5">
      <c r="A24" s="3" t="s">
        <v>139</v>
      </c>
      <c r="B24" s="61" t="s">
        <v>130</v>
      </c>
      <c r="C24" s="3" t="s">
        <v>122</v>
      </c>
      <c r="D24" s="3">
        <v>92</v>
      </c>
      <c r="E24" s="3">
        <v>120</v>
      </c>
      <c r="F24" s="65">
        <v>120</v>
      </c>
      <c r="G24" s="1070">
        <f t="shared" si="2"/>
        <v>0</v>
      </c>
      <c r="H24" s="125" t="s">
        <v>341</v>
      </c>
      <c r="I24" s="62"/>
      <c r="J24" s="143">
        <f t="shared" si="0"/>
        <v>1</v>
      </c>
    </row>
    <row r="25" spans="1:13" ht="15.5">
      <c r="A25" s="3" t="s">
        <v>140</v>
      </c>
      <c r="B25" s="61" t="s">
        <v>322</v>
      </c>
      <c r="C25" s="3" t="s">
        <v>122</v>
      </c>
      <c r="D25" s="3">
        <v>63</v>
      </c>
      <c r="E25" s="3">
        <f>D25</f>
        <v>63</v>
      </c>
      <c r="F25" s="65">
        <v>63</v>
      </c>
      <c r="G25" s="1070">
        <f t="shared" si="2"/>
        <v>0</v>
      </c>
      <c r="H25" s="125" t="s">
        <v>341</v>
      </c>
      <c r="I25" s="62"/>
      <c r="J25" s="143">
        <f t="shared" si="0"/>
        <v>1</v>
      </c>
    </row>
    <row r="26" spans="1:13">
      <c r="A26" s="79" t="s">
        <v>285</v>
      </c>
      <c r="B26" s="80" t="s">
        <v>134</v>
      </c>
      <c r="C26" s="3"/>
      <c r="D26" s="3"/>
      <c r="E26" s="3"/>
      <c r="F26" s="65"/>
      <c r="G26" s="611"/>
      <c r="H26" s="10"/>
      <c r="I26" s="58"/>
    </row>
    <row r="27" spans="1:13" ht="15.5">
      <c r="A27" s="3" t="s">
        <v>135</v>
      </c>
      <c r="B27" s="61" t="s">
        <v>323</v>
      </c>
      <c r="C27" s="3" t="s">
        <v>324</v>
      </c>
      <c r="D27" s="29">
        <v>118.557</v>
      </c>
      <c r="E27" s="29">
        <v>123.542</v>
      </c>
      <c r="F27" s="557">
        <f>80+37.33</f>
        <v>117.33</v>
      </c>
      <c r="G27" s="947">
        <f t="shared" si="2"/>
        <v>6.2120000000000033</v>
      </c>
      <c r="H27" s="125" t="s">
        <v>340</v>
      </c>
      <c r="I27" s="62"/>
      <c r="J27" s="143">
        <f t="shared" si="0"/>
        <v>0.94971750497806406</v>
      </c>
      <c r="M27" s="2">
        <v>117.33</v>
      </c>
    </row>
    <row r="28" spans="1:13" ht="15.5">
      <c r="A28" s="3" t="s">
        <v>136</v>
      </c>
      <c r="B28" s="61" t="s">
        <v>325</v>
      </c>
      <c r="C28" s="3" t="s">
        <v>122</v>
      </c>
      <c r="D28" s="3">
        <v>1167</v>
      </c>
      <c r="E28" s="3">
        <v>933</v>
      </c>
      <c r="F28" s="685">
        <f>896+37</f>
        <v>933</v>
      </c>
      <c r="G28" s="1070">
        <f t="shared" si="2"/>
        <v>0</v>
      </c>
      <c r="H28" s="125" t="s">
        <v>341</v>
      </c>
      <c r="I28" s="62"/>
      <c r="J28" s="143">
        <f t="shared" si="0"/>
        <v>1</v>
      </c>
    </row>
    <row r="29" spans="1:13" ht="15.5">
      <c r="A29" s="3" t="s">
        <v>137</v>
      </c>
      <c r="B29" s="61" t="s">
        <v>326</v>
      </c>
      <c r="C29" s="3" t="s">
        <v>122</v>
      </c>
      <c r="D29" s="3">
        <v>237</v>
      </c>
      <c r="E29" s="3">
        <v>226</v>
      </c>
      <c r="F29" s="65">
        <v>226</v>
      </c>
      <c r="G29" s="1070">
        <f t="shared" si="2"/>
        <v>0</v>
      </c>
      <c r="H29" s="125" t="s">
        <v>341</v>
      </c>
      <c r="I29" s="62"/>
      <c r="J29" s="143">
        <f t="shared" si="0"/>
        <v>1</v>
      </c>
    </row>
    <row r="30" spans="1:13" ht="15.5">
      <c r="A30" s="3" t="s">
        <v>138</v>
      </c>
      <c r="B30" s="61" t="s">
        <v>327</v>
      </c>
      <c r="C30" s="3" t="s">
        <v>122</v>
      </c>
      <c r="D30" s="3">
        <v>5</v>
      </c>
      <c r="E30" s="3">
        <v>20</v>
      </c>
      <c r="F30" s="65">
        <v>20</v>
      </c>
      <c r="G30" s="1070">
        <f t="shared" si="2"/>
        <v>0</v>
      </c>
      <c r="H30" s="125" t="s">
        <v>341</v>
      </c>
      <c r="I30" s="62"/>
      <c r="J30" s="143">
        <f t="shared" si="0"/>
        <v>1</v>
      </c>
    </row>
    <row r="31" spans="1:13" ht="15.5">
      <c r="A31" s="3" t="s">
        <v>139</v>
      </c>
      <c r="B31" s="61" t="s">
        <v>328</v>
      </c>
      <c r="C31" s="3" t="s">
        <v>122</v>
      </c>
      <c r="D31" s="3">
        <v>20</v>
      </c>
      <c r="E31" s="3">
        <v>20</v>
      </c>
      <c r="F31" s="65">
        <v>20</v>
      </c>
      <c r="G31" s="1070">
        <f t="shared" si="2"/>
        <v>0</v>
      </c>
      <c r="H31" s="125" t="s">
        <v>341</v>
      </c>
      <c r="I31" s="62"/>
      <c r="J31" s="143">
        <f t="shared" si="0"/>
        <v>1</v>
      </c>
    </row>
    <row r="32" spans="1:13" ht="15.5">
      <c r="A32" s="3" t="s">
        <v>140</v>
      </c>
      <c r="B32" s="61" t="s">
        <v>329</v>
      </c>
      <c r="C32" s="3" t="s">
        <v>122</v>
      </c>
      <c r="D32" s="3">
        <v>21</v>
      </c>
      <c r="E32" s="3">
        <v>53</v>
      </c>
      <c r="F32" s="65">
        <f>21+32</f>
        <v>53</v>
      </c>
      <c r="G32" s="1070">
        <f t="shared" si="2"/>
        <v>0</v>
      </c>
      <c r="H32" s="125" t="s">
        <v>341</v>
      </c>
      <c r="I32" s="62"/>
      <c r="J32" s="143">
        <f t="shared" si="0"/>
        <v>1</v>
      </c>
    </row>
    <row r="33" spans="1:13" ht="15.5">
      <c r="A33" s="3" t="s">
        <v>141</v>
      </c>
      <c r="B33" s="61" t="s">
        <v>330</v>
      </c>
      <c r="C33" s="3" t="s">
        <v>122</v>
      </c>
      <c r="D33" s="3">
        <v>1</v>
      </c>
      <c r="E33" s="3">
        <f>D33</f>
        <v>1</v>
      </c>
      <c r="F33" s="65">
        <v>1</v>
      </c>
      <c r="G33" s="1070">
        <f t="shared" si="2"/>
        <v>0</v>
      </c>
      <c r="H33" s="125" t="s">
        <v>341</v>
      </c>
      <c r="I33" s="62"/>
      <c r="J33" s="143">
        <f t="shared" si="0"/>
        <v>1</v>
      </c>
    </row>
    <row r="34" spans="1:13" ht="15.5">
      <c r="A34" s="3" t="s">
        <v>142</v>
      </c>
      <c r="B34" s="61" t="s">
        <v>158</v>
      </c>
      <c r="C34" s="3" t="s">
        <v>122</v>
      </c>
      <c r="D34" s="3">
        <v>1228</v>
      </c>
      <c r="E34" s="3">
        <v>859</v>
      </c>
      <c r="F34" s="65">
        <v>859</v>
      </c>
      <c r="G34" s="1070">
        <f t="shared" si="2"/>
        <v>0</v>
      </c>
      <c r="H34" s="125" t="s">
        <v>341</v>
      </c>
      <c r="I34" s="62" t="s">
        <v>304</v>
      </c>
      <c r="J34" s="143">
        <f t="shared" si="0"/>
        <v>1</v>
      </c>
    </row>
    <row r="35" spans="1:13" ht="15.5">
      <c r="A35" s="3" t="s">
        <v>1617</v>
      </c>
      <c r="B35" s="61" t="s">
        <v>1616</v>
      </c>
      <c r="C35" s="3" t="s">
        <v>127</v>
      </c>
      <c r="D35" s="3">
        <v>25</v>
      </c>
      <c r="E35" s="3">
        <v>27</v>
      </c>
      <c r="F35" s="65">
        <v>25</v>
      </c>
      <c r="G35" s="1070">
        <f t="shared" si="2"/>
        <v>2</v>
      </c>
      <c r="H35" s="125"/>
      <c r="I35" s="62"/>
      <c r="J35" s="143">
        <f t="shared" si="0"/>
        <v>0.92592592592592593</v>
      </c>
    </row>
    <row r="36" spans="1:13">
      <c r="A36" s="79" t="s">
        <v>286</v>
      </c>
      <c r="B36" s="80" t="s">
        <v>287</v>
      </c>
      <c r="C36" s="3"/>
      <c r="D36" s="3"/>
      <c r="E36" s="3"/>
      <c r="F36" s="65"/>
      <c r="G36" s="611"/>
      <c r="H36" s="10"/>
      <c r="I36" s="62"/>
    </row>
    <row r="37" spans="1:13" ht="15.5">
      <c r="A37" s="3" t="s">
        <v>331</v>
      </c>
      <c r="B37" s="72" t="s">
        <v>332</v>
      </c>
      <c r="C37" s="3" t="s">
        <v>127</v>
      </c>
      <c r="D37" s="3">
        <v>200</v>
      </c>
      <c r="E37" s="10">
        <v>306</v>
      </c>
      <c r="F37" s="65">
        <v>306</v>
      </c>
      <c r="G37" s="1070">
        <f t="shared" si="2"/>
        <v>0</v>
      </c>
      <c r="H37" s="125" t="s">
        <v>342</v>
      </c>
      <c r="I37" s="10"/>
      <c r="J37" s="143">
        <f t="shared" si="0"/>
        <v>1</v>
      </c>
    </row>
    <row r="38" spans="1:13" ht="15.5">
      <c r="A38" s="3" t="s">
        <v>333</v>
      </c>
      <c r="B38" s="72" t="s">
        <v>334</v>
      </c>
      <c r="C38" s="3" t="s">
        <v>127</v>
      </c>
      <c r="D38" s="3">
        <v>80</v>
      </c>
      <c r="E38" s="10">
        <v>10</v>
      </c>
      <c r="F38" s="65">
        <v>10</v>
      </c>
      <c r="G38" s="1070">
        <f t="shared" si="2"/>
        <v>0</v>
      </c>
      <c r="H38" s="125" t="s">
        <v>342</v>
      </c>
      <c r="I38" s="10"/>
      <c r="M38" s="2">
        <v>896</v>
      </c>
    </row>
    <row r="39" spans="1:13" ht="15.5">
      <c r="A39" s="3" t="s">
        <v>335</v>
      </c>
      <c r="B39" s="72" t="s">
        <v>336</v>
      </c>
      <c r="C39" s="3" t="s">
        <v>127</v>
      </c>
      <c r="D39" s="3">
        <v>200</v>
      </c>
      <c r="E39" s="10">
        <v>313</v>
      </c>
      <c r="F39" s="65">
        <v>313</v>
      </c>
      <c r="G39" s="1070">
        <f t="shared" si="2"/>
        <v>0</v>
      </c>
      <c r="H39" s="125" t="s">
        <v>342</v>
      </c>
      <c r="I39" s="10"/>
      <c r="M39" s="2">
        <v>23</v>
      </c>
    </row>
    <row r="40" spans="1:13" ht="15.5">
      <c r="A40" s="3" t="s">
        <v>138</v>
      </c>
      <c r="B40" s="72" t="s">
        <v>337</v>
      </c>
      <c r="C40" s="3" t="s">
        <v>127</v>
      </c>
      <c r="D40" s="3">
        <v>9</v>
      </c>
      <c r="E40" s="3">
        <f>D40</f>
        <v>9</v>
      </c>
      <c r="F40" s="65"/>
      <c r="G40" s="1070">
        <f t="shared" si="2"/>
        <v>9</v>
      </c>
      <c r="H40" s="125" t="s">
        <v>341</v>
      </c>
      <c r="I40" s="10"/>
    </row>
    <row r="41" spans="1:13" ht="15.5">
      <c r="A41" s="3" t="s">
        <v>139</v>
      </c>
      <c r="B41" s="72" t="s">
        <v>1654</v>
      </c>
      <c r="C41" s="3" t="s">
        <v>127</v>
      </c>
      <c r="D41" s="3">
        <v>12</v>
      </c>
      <c r="E41" s="3">
        <v>14</v>
      </c>
      <c r="F41" s="65">
        <v>14</v>
      </c>
      <c r="G41" s="1070">
        <f t="shared" si="2"/>
        <v>0</v>
      </c>
      <c r="H41" s="125" t="s">
        <v>341</v>
      </c>
      <c r="I41" s="10"/>
    </row>
    <row r="42" spans="1:13" ht="15.5">
      <c r="A42" s="3" t="s">
        <v>140</v>
      </c>
      <c r="B42" s="72" t="s">
        <v>1655</v>
      </c>
      <c r="C42" s="3" t="s">
        <v>127</v>
      </c>
      <c r="D42" s="3">
        <v>4</v>
      </c>
      <c r="E42" s="3">
        <f>D42</f>
        <v>4</v>
      </c>
      <c r="F42" s="65"/>
      <c r="G42" s="1070">
        <f t="shared" si="2"/>
        <v>4</v>
      </c>
      <c r="H42" s="125" t="s">
        <v>341</v>
      </c>
      <c r="I42" s="10"/>
    </row>
    <row r="43" spans="1:13" ht="15.5">
      <c r="A43" s="1042" t="s">
        <v>141</v>
      </c>
      <c r="B43" s="1043" t="s">
        <v>338</v>
      </c>
      <c r="C43" s="1042" t="s">
        <v>127</v>
      </c>
      <c r="D43" s="1042">
        <v>9</v>
      </c>
      <c r="E43" s="1042">
        <v>0</v>
      </c>
      <c r="F43" s="1040"/>
      <c r="G43" s="1071">
        <f t="shared" si="2"/>
        <v>0</v>
      </c>
      <c r="H43" s="1044" t="s">
        <v>341</v>
      </c>
      <c r="I43" s="10"/>
    </row>
    <row r="44" spans="1:13">
      <c r="A44" s="79" t="s">
        <v>922</v>
      </c>
      <c r="B44" s="80" t="s">
        <v>1513</v>
      </c>
      <c r="C44" s="72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2" t="s">
        <v>1507</v>
      </c>
      <c r="C45" s="1041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44" t="s">
        <v>1518</v>
      </c>
      <c r="I45" s="10"/>
    </row>
    <row r="46" spans="1:13" ht="15.5">
      <c r="A46" s="3" t="s">
        <v>333</v>
      </c>
      <c r="B46" s="612" t="s">
        <v>1509</v>
      </c>
      <c r="C46" s="1041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44" t="s">
        <v>1518</v>
      </c>
      <c r="I46" s="10"/>
    </row>
    <row r="47" spans="1:13" ht="15.5">
      <c r="A47" s="3" t="s">
        <v>335</v>
      </c>
      <c r="B47" s="612" t="s">
        <v>1519</v>
      </c>
      <c r="C47" s="1041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44" t="s">
        <v>1518</v>
      </c>
      <c r="I47" s="10"/>
    </row>
    <row r="48" spans="1:13" ht="15.5">
      <c r="A48" s="3" t="s">
        <v>138</v>
      </c>
      <c r="B48" s="612" t="s">
        <v>1510</v>
      </c>
      <c r="C48" s="1041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44" t="s">
        <v>1518</v>
      </c>
      <c r="I48" s="10"/>
    </row>
    <row r="49" spans="1:9" ht="15.5">
      <c r="A49" s="3" t="s">
        <v>139</v>
      </c>
      <c r="B49" s="612" t="s">
        <v>1511</v>
      </c>
      <c r="C49" s="1041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44" t="s">
        <v>1518</v>
      </c>
      <c r="I49" s="10"/>
    </row>
    <row r="50" spans="1:9" ht="15.5">
      <c r="A50" s="3" t="s">
        <v>140</v>
      </c>
      <c r="B50" s="612" t="s">
        <v>1512</v>
      </c>
      <c r="C50" s="1041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44" t="s">
        <v>1518</v>
      </c>
      <c r="I50" s="10" t="s">
        <v>1521</v>
      </c>
    </row>
    <row r="51" spans="1:9" ht="15.5">
      <c r="A51" s="3" t="s">
        <v>141</v>
      </c>
      <c r="B51" s="72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44"/>
      <c r="I51" s="10"/>
    </row>
    <row r="52" spans="1:9" ht="15.5">
      <c r="A52" s="3" t="s">
        <v>142</v>
      </c>
      <c r="B52" s="72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44"/>
      <c r="I52" s="10"/>
    </row>
    <row r="53" spans="1:9" ht="15.5">
      <c r="A53" s="3" t="s">
        <v>1517</v>
      </c>
      <c r="B53" s="72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25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D1" zoomScale="85" zoomScaleNormal="70" zoomScaleSheetLayoutView="85" workbookViewId="0">
      <pane ySplit="3" topLeftCell="A25" activePane="bottomLeft" state="frozen"/>
      <selection activeCell="B1" sqref="B1:L1"/>
      <selection pane="bottomLeft" activeCell="N31" sqref="N31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7" bestFit="1" customWidth="1"/>
    <col min="6" max="6" width="13.7265625" style="137" customWidth="1"/>
    <col min="7" max="7" width="16.7265625" style="137" customWidth="1"/>
    <col min="8" max="8" width="1.81640625" style="137" customWidth="1"/>
    <col min="9" max="9" width="12.1796875" style="137" customWidth="1"/>
    <col min="10" max="10" width="16.453125" style="624" customWidth="1"/>
    <col min="11" max="11" width="18.54296875" style="625" customWidth="1"/>
    <col min="12" max="12" width="4.1796875" style="137" customWidth="1"/>
    <col min="13" max="13" width="14.26953125" style="137" customWidth="1"/>
    <col min="14" max="14" width="14.54296875" style="137" customWidth="1"/>
    <col min="15" max="15" width="16.26953125" style="137" customWidth="1"/>
    <col min="16" max="16" width="22.81640625" style="137" bestFit="1" customWidth="1"/>
    <col min="17" max="16384" width="9.1796875" style="137"/>
  </cols>
  <sheetData>
    <row r="1" spans="1:16" s="135" customFormat="1" ht="27" customHeight="1" thickBot="1">
      <c r="A1" s="1700" t="s">
        <v>1360</v>
      </c>
      <c r="B1" s="1701"/>
      <c r="C1" s="1701"/>
      <c r="D1" s="1701"/>
      <c r="E1" s="1701"/>
      <c r="F1" s="1701"/>
      <c r="G1" s="1702"/>
      <c r="H1" s="1697"/>
      <c r="I1" s="1714" t="s">
        <v>1361</v>
      </c>
      <c r="J1" s="1715"/>
      <c r="K1" s="1715"/>
      <c r="L1" s="1715"/>
      <c r="M1" s="1715"/>
      <c r="N1" s="1715"/>
      <c r="O1" s="1715"/>
      <c r="P1" s="1715"/>
    </row>
    <row r="2" spans="1:16" s="136" customFormat="1" ht="29.25" customHeight="1" thickBot="1">
      <c r="A2" s="1706" t="s">
        <v>91</v>
      </c>
      <c r="B2" s="872" t="s">
        <v>653</v>
      </c>
      <c r="C2" s="873" t="s">
        <v>486</v>
      </c>
      <c r="E2" s="1710" t="s">
        <v>986</v>
      </c>
      <c r="F2" s="1710"/>
      <c r="G2" s="1711"/>
      <c r="H2" s="1698"/>
      <c r="I2" s="1706" t="s">
        <v>91</v>
      </c>
      <c r="J2" s="872" t="s">
        <v>653</v>
      </c>
      <c r="K2" s="873" t="s">
        <v>486</v>
      </c>
      <c r="L2" s="910"/>
      <c r="M2" s="1221" t="s">
        <v>986</v>
      </c>
      <c r="N2" s="1221"/>
      <c r="O2" s="1221"/>
      <c r="P2" s="1221"/>
    </row>
    <row r="3" spans="1:16" s="136" customFormat="1" ht="42" customHeight="1" thickBot="1">
      <c r="A3" s="1707"/>
      <c r="B3" s="879" t="s">
        <v>523</v>
      </c>
      <c r="C3" s="880" t="s">
        <v>487</v>
      </c>
      <c r="E3" s="908" t="s">
        <v>913</v>
      </c>
      <c r="F3" s="909" t="s">
        <v>1359</v>
      </c>
      <c r="G3" s="917" t="s">
        <v>988</v>
      </c>
      <c r="H3" s="1698"/>
      <c r="I3" s="1708"/>
      <c r="J3" s="399" t="s">
        <v>523</v>
      </c>
      <c r="K3" s="874" t="s">
        <v>487</v>
      </c>
      <c r="M3" s="943" t="s">
        <v>913</v>
      </c>
      <c r="N3" s="943" t="s">
        <v>1359</v>
      </c>
      <c r="O3" s="1206" t="s">
        <v>1675</v>
      </c>
      <c r="P3" s="1206" t="s">
        <v>1676</v>
      </c>
    </row>
    <row r="4" spans="1:16" s="136" customFormat="1" ht="18.5">
      <c r="A4" s="881">
        <v>0</v>
      </c>
      <c r="B4" s="882" t="s">
        <v>244</v>
      </c>
      <c r="C4" s="883" t="s">
        <v>244</v>
      </c>
      <c r="E4" s="876" t="s">
        <v>3</v>
      </c>
      <c r="F4" s="871">
        <f>COUNTIF('Tower Abstarct '!$D$5:D303,E4)</f>
        <v>30</v>
      </c>
      <c r="G4" s="1709">
        <v>241</v>
      </c>
      <c r="H4" s="1698"/>
      <c r="I4" s="891">
        <v>0</v>
      </c>
      <c r="J4" s="407" t="s">
        <v>1162</v>
      </c>
      <c r="K4" s="892" t="s">
        <v>244</v>
      </c>
      <c r="M4" s="407" t="s">
        <v>3</v>
      </c>
      <c r="N4" s="871">
        <f t="shared" ref="N4:N33" si="0">COUNTIF($K$4:$K$310,M4)</f>
        <v>33</v>
      </c>
      <c r="O4" s="1712">
        <v>244</v>
      </c>
      <c r="P4" s="1713">
        <v>246</v>
      </c>
    </row>
    <row r="5" spans="1:16" s="136" customFormat="1" ht="18.75" customHeight="1">
      <c r="A5" s="884">
        <v>1</v>
      </c>
      <c r="B5" s="756" t="s">
        <v>268</v>
      </c>
      <c r="C5" s="885" t="s">
        <v>188</v>
      </c>
      <c r="E5" s="876" t="s">
        <v>170</v>
      </c>
      <c r="F5" s="871">
        <f>COUNTIF('Tower Abstarct '!$D$5:D304,E5)</f>
        <v>24</v>
      </c>
      <c r="G5" s="1709"/>
      <c r="H5" s="1698"/>
      <c r="I5" s="891">
        <f>SUBTOTAL(103,$J$5:J5)</f>
        <v>1</v>
      </c>
      <c r="J5" s="407" t="s">
        <v>268</v>
      </c>
      <c r="K5" s="893" t="s">
        <v>188</v>
      </c>
      <c r="M5" s="407" t="s">
        <v>154</v>
      </c>
      <c r="N5" s="871">
        <f t="shared" si="0"/>
        <v>12</v>
      </c>
      <c r="O5" s="1712"/>
      <c r="P5" s="1713"/>
    </row>
    <row r="6" spans="1:16" s="136" customFormat="1" ht="18.75" customHeight="1">
      <c r="A6" s="884">
        <v>2</v>
      </c>
      <c r="B6" s="756" t="s">
        <v>269</v>
      </c>
      <c r="C6" s="885" t="s">
        <v>178</v>
      </c>
      <c r="E6" s="876" t="s">
        <v>2</v>
      </c>
      <c r="F6" s="871">
        <f>COUNTIF('Tower Abstarct '!$D$5:D305,E6)</f>
        <v>66</v>
      </c>
      <c r="G6" s="1709"/>
      <c r="H6" s="1698"/>
      <c r="I6" s="891">
        <f>SUBTOTAL(103,$J$5:J6)</f>
        <v>2</v>
      </c>
      <c r="J6" s="750" t="s">
        <v>1250</v>
      </c>
      <c r="K6" s="893" t="s">
        <v>178</v>
      </c>
      <c r="M6" s="1219" t="s">
        <v>4</v>
      </c>
      <c r="N6" s="1220">
        <f t="shared" si="0"/>
        <v>12</v>
      </c>
      <c r="O6" s="1712"/>
      <c r="P6" s="1713"/>
    </row>
    <row r="7" spans="1:16" s="136" customFormat="1" ht="18.75" customHeight="1">
      <c r="A7" s="884">
        <v>3</v>
      </c>
      <c r="B7" s="756" t="s">
        <v>270</v>
      </c>
      <c r="C7" s="886" t="s">
        <v>184</v>
      </c>
      <c r="E7" s="876" t="s">
        <v>989</v>
      </c>
      <c r="F7" s="871">
        <f>COUNTIF('Tower Abstarct '!$D$5:D306,E7)</f>
        <v>1</v>
      </c>
      <c r="G7" s="1709"/>
      <c r="H7" s="1698"/>
      <c r="I7" s="891">
        <f>SUBTOTAL(103,$J$5:J7)</f>
        <v>3</v>
      </c>
      <c r="J7" s="407" t="s">
        <v>1252</v>
      </c>
      <c r="K7" s="892" t="s">
        <v>3</v>
      </c>
      <c r="M7" s="407" t="s">
        <v>170</v>
      </c>
      <c r="N7" s="869">
        <f t="shared" si="0"/>
        <v>24</v>
      </c>
      <c r="O7" s="1712"/>
      <c r="P7" s="1713"/>
    </row>
    <row r="8" spans="1:16" s="136" customFormat="1" ht="18.75" customHeight="1">
      <c r="A8" s="884">
        <v>4</v>
      </c>
      <c r="B8" s="756" t="s">
        <v>528</v>
      </c>
      <c r="C8" s="886" t="s">
        <v>2</v>
      </c>
      <c r="E8" s="876" t="s">
        <v>79</v>
      </c>
      <c r="F8" s="871">
        <f>COUNTIF('Tower Abstarct '!$D$5:D306,E8)</f>
        <v>49</v>
      </c>
      <c r="G8" s="1709"/>
      <c r="H8" s="1698"/>
      <c r="I8" s="891">
        <f>SUBTOTAL(103,$J$5:J8)</f>
        <v>4</v>
      </c>
      <c r="J8" s="407" t="s">
        <v>1253</v>
      </c>
      <c r="K8" s="892" t="s">
        <v>2</v>
      </c>
      <c r="M8" s="407" t="s">
        <v>2</v>
      </c>
      <c r="N8" s="869">
        <f t="shared" si="0"/>
        <v>69</v>
      </c>
      <c r="O8" s="1712"/>
      <c r="P8" s="1713"/>
    </row>
    <row r="9" spans="1:16" s="136" customFormat="1" ht="18.75" customHeight="1">
      <c r="A9" s="884">
        <v>5</v>
      </c>
      <c r="B9" s="756" t="s">
        <v>529</v>
      </c>
      <c r="C9" s="886" t="s">
        <v>79</v>
      </c>
      <c r="E9" s="876" t="s">
        <v>49</v>
      </c>
      <c r="F9" s="871">
        <f>COUNTIF('Tower Abstarct '!$D$5:D307,E9)</f>
        <v>47</v>
      </c>
      <c r="G9" s="1709"/>
      <c r="H9" s="1698"/>
      <c r="I9" s="891">
        <f>SUBTOTAL(103,$J$5:J9)</f>
        <v>5</v>
      </c>
      <c r="J9" s="407" t="s">
        <v>1254</v>
      </c>
      <c r="K9" s="892" t="s">
        <v>2</v>
      </c>
      <c r="M9" s="407" t="s">
        <v>989</v>
      </c>
      <c r="N9" s="869">
        <f t="shared" si="0"/>
        <v>1</v>
      </c>
      <c r="O9" s="1712"/>
      <c r="P9" s="1713"/>
    </row>
    <row r="10" spans="1:16" s="136" customFormat="1" ht="18.75" customHeight="1">
      <c r="A10" s="884">
        <v>6</v>
      </c>
      <c r="B10" s="756" t="s">
        <v>530</v>
      </c>
      <c r="C10" s="886" t="s">
        <v>2</v>
      </c>
      <c r="E10" s="876" t="s">
        <v>154</v>
      </c>
      <c r="F10" s="871">
        <f>COUNTIF('Tower Abstarct '!$D$5:D308,E10)</f>
        <v>12</v>
      </c>
      <c r="G10" s="1709"/>
      <c r="H10" s="1698"/>
      <c r="I10" s="891">
        <f>SUBTOTAL(103,$J$5:J10)</f>
        <v>6</v>
      </c>
      <c r="J10" s="407" t="s">
        <v>1255</v>
      </c>
      <c r="K10" s="892" t="s">
        <v>2</v>
      </c>
      <c r="M10" s="407" t="s">
        <v>79</v>
      </c>
      <c r="N10" s="869">
        <f t="shared" si="0"/>
        <v>47</v>
      </c>
      <c r="O10" s="1712"/>
      <c r="P10" s="1713"/>
    </row>
    <row r="11" spans="1:16" s="136" customFormat="1" ht="18.75" customHeight="1">
      <c r="A11" s="884">
        <v>7</v>
      </c>
      <c r="B11" s="756" t="s">
        <v>531</v>
      </c>
      <c r="C11" s="886" t="s">
        <v>79</v>
      </c>
      <c r="E11" s="876" t="s">
        <v>4</v>
      </c>
      <c r="F11" s="871">
        <f>COUNTIF('Tower Abstarct '!$D$5:D309,E11)</f>
        <v>12</v>
      </c>
      <c r="G11" s="1709"/>
      <c r="H11" s="1698"/>
      <c r="I11" s="891">
        <f>SUBTOTAL(103,$J$5:J11)</f>
        <v>7</v>
      </c>
      <c r="J11" s="407" t="s">
        <v>1256</v>
      </c>
      <c r="K11" s="892" t="s">
        <v>2</v>
      </c>
      <c r="M11" s="407" t="s">
        <v>49</v>
      </c>
      <c r="N11" s="869">
        <f t="shared" si="0"/>
        <v>46</v>
      </c>
      <c r="O11" s="1712"/>
      <c r="P11" s="1713"/>
    </row>
    <row r="12" spans="1:16" s="136" customFormat="1" ht="18.75" customHeight="1">
      <c r="A12" s="884">
        <v>8</v>
      </c>
      <c r="B12" s="756" t="s">
        <v>532</v>
      </c>
      <c r="C12" s="886" t="s">
        <v>2</v>
      </c>
      <c r="E12" s="900" t="s">
        <v>197</v>
      </c>
      <c r="F12" s="901">
        <f>COUNTIF('Tower Abstarct '!$D$5:D310,E12)</f>
        <v>7</v>
      </c>
      <c r="G12" s="1709">
        <v>29</v>
      </c>
      <c r="H12" s="1698"/>
      <c r="I12" s="891">
        <f>SUBTOTAL(103,$J$5:J12)</f>
        <v>8</v>
      </c>
      <c r="J12" s="407" t="s">
        <v>1257</v>
      </c>
      <c r="K12" s="892" t="s">
        <v>79</v>
      </c>
      <c r="M12" s="407" t="s">
        <v>197</v>
      </c>
      <c r="N12" s="869">
        <f t="shared" si="0"/>
        <v>7</v>
      </c>
      <c r="O12" s="1705">
        <v>31</v>
      </c>
      <c r="P12" s="1713">
        <v>31</v>
      </c>
    </row>
    <row r="13" spans="1:16" s="136" customFormat="1" ht="18.75" customHeight="1">
      <c r="A13" s="884">
        <v>9</v>
      </c>
      <c r="B13" s="756" t="s">
        <v>533</v>
      </c>
      <c r="C13" s="886" t="s">
        <v>2</v>
      </c>
      <c r="E13" s="900" t="s">
        <v>226</v>
      </c>
      <c r="F13" s="901">
        <f>COUNTIF('Tower Abstarct '!$D$5:D312,E13)</f>
        <v>2</v>
      </c>
      <c r="G13" s="1709"/>
      <c r="H13" s="1698"/>
      <c r="I13" s="891">
        <f>SUBTOTAL(103,$J$5:J13)</f>
        <v>9</v>
      </c>
      <c r="J13" s="407" t="s">
        <v>1258</v>
      </c>
      <c r="K13" s="892" t="s">
        <v>183</v>
      </c>
      <c r="M13" s="407" t="s">
        <v>226</v>
      </c>
      <c r="N13" s="869">
        <f t="shared" si="0"/>
        <v>2</v>
      </c>
      <c r="O13" s="1705"/>
      <c r="P13" s="1713"/>
    </row>
    <row r="14" spans="1:16" s="136" customFormat="1" ht="18.75" customHeight="1">
      <c r="A14" s="884">
        <v>10</v>
      </c>
      <c r="B14" s="756" t="s">
        <v>534</v>
      </c>
      <c r="C14" s="886" t="s">
        <v>2</v>
      </c>
      <c r="E14" s="900" t="s">
        <v>227</v>
      </c>
      <c r="F14" s="901">
        <f>COUNTIF('Tower Abstarct '!$D$5:D313,E14)</f>
        <v>6</v>
      </c>
      <c r="G14" s="1709"/>
      <c r="H14" s="1698"/>
      <c r="I14" s="891">
        <f>SUBTOTAL(103,$J$5:J14)</f>
        <v>10</v>
      </c>
      <c r="J14" s="407" t="s">
        <v>1259</v>
      </c>
      <c r="K14" s="892" t="s">
        <v>2</v>
      </c>
      <c r="M14" s="407" t="s">
        <v>227</v>
      </c>
      <c r="N14" s="869">
        <f t="shared" si="0"/>
        <v>6</v>
      </c>
      <c r="O14" s="1705"/>
      <c r="P14" s="1713"/>
    </row>
    <row r="15" spans="1:16" s="136" customFormat="1" ht="18.75" customHeight="1">
      <c r="A15" s="884">
        <v>11</v>
      </c>
      <c r="B15" s="756" t="s">
        <v>535</v>
      </c>
      <c r="C15" s="886" t="s">
        <v>3</v>
      </c>
      <c r="E15" s="900" t="s">
        <v>211</v>
      </c>
      <c r="F15" s="901">
        <f>COUNTIF('Tower Abstarct '!$D$5:D314,E15)</f>
        <v>11</v>
      </c>
      <c r="G15" s="1709"/>
      <c r="H15" s="1698"/>
      <c r="I15" s="891">
        <f>SUBTOTAL(103,$J$5:J15)</f>
        <v>11</v>
      </c>
      <c r="J15" s="407" t="s">
        <v>1260</v>
      </c>
      <c r="K15" s="892" t="s">
        <v>2</v>
      </c>
      <c r="M15" s="407" t="s">
        <v>211</v>
      </c>
      <c r="N15" s="869">
        <f t="shared" si="0"/>
        <v>12</v>
      </c>
      <c r="O15" s="1705"/>
      <c r="P15" s="1713"/>
    </row>
    <row r="16" spans="1:16" s="136" customFormat="1" ht="18.75" customHeight="1">
      <c r="A16" s="884">
        <v>12</v>
      </c>
      <c r="B16" s="756" t="s">
        <v>536</v>
      </c>
      <c r="C16" s="886" t="s">
        <v>3</v>
      </c>
      <c r="E16" s="900" t="s">
        <v>403</v>
      </c>
      <c r="F16" s="901">
        <f>COUNTIF('Tower Abstarct '!$D$5:D311,E16)</f>
        <v>3</v>
      </c>
      <c r="G16" s="1709"/>
      <c r="H16" s="1698"/>
      <c r="I16" s="891">
        <f>SUBTOTAL(103,$J$5:J16)</f>
        <v>12</v>
      </c>
      <c r="J16" s="407" t="s">
        <v>1261</v>
      </c>
      <c r="K16" s="892" t="s">
        <v>3</v>
      </c>
      <c r="M16" s="407" t="s">
        <v>403</v>
      </c>
      <c r="N16" s="869">
        <f t="shared" si="0"/>
        <v>4</v>
      </c>
      <c r="O16" s="1705"/>
      <c r="P16" s="1713"/>
    </row>
    <row r="17" spans="1:16" s="136" customFormat="1" ht="18.75" customHeight="1">
      <c r="A17" s="884">
        <v>13</v>
      </c>
      <c r="B17" s="756" t="s">
        <v>537</v>
      </c>
      <c r="C17" s="886" t="s">
        <v>49</v>
      </c>
      <c r="E17" s="900" t="s">
        <v>184</v>
      </c>
      <c r="F17" s="901">
        <f>COUNTIF('Tower Abstarct '!$D$5:D315,E17)</f>
        <v>6</v>
      </c>
      <c r="G17" s="1709">
        <v>10</v>
      </c>
      <c r="H17" s="1698"/>
      <c r="I17" s="891">
        <f>SUBTOTAL(103,$J$5:J17)</f>
        <v>13</v>
      </c>
      <c r="J17" s="407" t="s">
        <v>1262</v>
      </c>
      <c r="K17" s="892" t="s">
        <v>3</v>
      </c>
      <c r="M17" s="407" t="s">
        <v>184</v>
      </c>
      <c r="N17" s="869">
        <f t="shared" si="0"/>
        <v>5</v>
      </c>
      <c r="O17" s="1716">
        <v>11</v>
      </c>
      <c r="P17" s="1713">
        <v>10</v>
      </c>
    </row>
    <row r="18" spans="1:16" s="136" customFormat="1" ht="18.75" customHeight="1">
      <c r="A18" s="884">
        <v>14</v>
      </c>
      <c r="B18" s="756" t="s">
        <v>538</v>
      </c>
      <c r="C18" s="886" t="s">
        <v>3</v>
      </c>
      <c r="E18" s="900" t="s">
        <v>228</v>
      </c>
      <c r="F18" s="901">
        <f>COUNTIF('Tower Abstarct '!$D$5:D316,E18)</f>
        <v>2</v>
      </c>
      <c r="G18" s="1709"/>
      <c r="H18" s="1698"/>
      <c r="I18" s="891">
        <f>SUBTOTAL(103,$J$5:J18)</f>
        <v>14</v>
      </c>
      <c r="J18" s="407" t="s">
        <v>1263</v>
      </c>
      <c r="K18" s="892" t="s">
        <v>2</v>
      </c>
      <c r="M18" s="407" t="s">
        <v>228</v>
      </c>
      <c r="N18" s="869">
        <f t="shared" si="0"/>
        <v>1</v>
      </c>
      <c r="O18" s="1716"/>
      <c r="P18" s="1713"/>
    </row>
    <row r="19" spans="1:16" s="577" customFormat="1" ht="18.75" customHeight="1">
      <c r="A19" s="884">
        <v>15</v>
      </c>
      <c r="B19" s="921" t="s">
        <v>256</v>
      </c>
      <c r="C19" s="922" t="s">
        <v>211</v>
      </c>
      <c r="D19" s="653"/>
      <c r="E19" s="900" t="s">
        <v>229</v>
      </c>
      <c r="F19" s="901">
        <f>COUNTIF('Tower Abstarct '!$D$5:D317,E19)</f>
        <v>1</v>
      </c>
      <c r="G19" s="1709"/>
      <c r="H19" s="1698"/>
      <c r="I19" s="891">
        <f>SUBTOTAL(103,$J$5:J19)</f>
        <v>15</v>
      </c>
      <c r="J19" s="574" t="s">
        <v>1264</v>
      </c>
      <c r="K19" s="894" t="s">
        <v>3</v>
      </c>
      <c r="M19" s="407" t="s">
        <v>229</v>
      </c>
      <c r="N19" s="869">
        <f t="shared" si="0"/>
        <v>1</v>
      </c>
      <c r="O19" s="1716"/>
      <c r="P19" s="1713"/>
    </row>
    <row r="20" spans="1:16" s="136" customFormat="1" ht="18.75" customHeight="1">
      <c r="A20" s="884">
        <v>16</v>
      </c>
      <c r="B20" s="756" t="s">
        <v>454</v>
      </c>
      <c r="C20" s="886" t="s">
        <v>79</v>
      </c>
      <c r="E20" s="900" t="s">
        <v>215</v>
      </c>
      <c r="F20" s="901">
        <f>COUNTIF('Tower Abstarct '!$D$5:D318,E20)</f>
        <v>1</v>
      </c>
      <c r="G20" s="1709"/>
      <c r="H20" s="1698"/>
      <c r="I20" s="891">
        <f>SUBTOTAL(103,$J$5:J20)</f>
        <v>16</v>
      </c>
      <c r="J20" s="407" t="s">
        <v>1265</v>
      </c>
      <c r="K20" s="892" t="s">
        <v>211</v>
      </c>
      <c r="M20" s="407" t="s">
        <v>215</v>
      </c>
      <c r="N20" s="869">
        <f t="shared" si="0"/>
        <v>4</v>
      </c>
      <c r="O20" s="1716"/>
      <c r="P20" s="1713"/>
    </row>
    <row r="21" spans="1:16" s="136" customFormat="1" ht="18.75" customHeight="1">
      <c r="A21" s="884">
        <v>17</v>
      </c>
      <c r="B21" s="756" t="s">
        <v>455</v>
      </c>
      <c r="C21" s="886" t="s">
        <v>2</v>
      </c>
      <c r="E21" s="902" t="s">
        <v>185</v>
      </c>
      <c r="F21" s="903">
        <f>COUNTIF('Tower Abstarct '!$D$5:D319,E21)</f>
        <v>1</v>
      </c>
      <c r="G21" s="1709">
        <v>2</v>
      </c>
      <c r="H21" s="1698"/>
      <c r="I21" s="891">
        <f>SUBTOTAL(103,$J$5:J21)</f>
        <v>17</v>
      </c>
      <c r="J21" s="407" t="s">
        <v>1266</v>
      </c>
      <c r="K21" s="892" t="s">
        <v>2</v>
      </c>
      <c r="M21" s="407" t="s">
        <v>185</v>
      </c>
      <c r="N21" s="869">
        <f t="shared" si="0"/>
        <v>1</v>
      </c>
      <c r="O21" s="1716">
        <v>2</v>
      </c>
      <c r="P21" s="1713">
        <v>2</v>
      </c>
    </row>
    <row r="22" spans="1:16" s="136" customFormat="1" ht="18.75" customHeight="1">
      <c r="A22" s="884">
        <v>18</v>
      </c>
      <c r="B22" s="756" t="s">
        <v>456</v>
      </c>
      <c r="C22" s="886" t="s">
        <v>2</v>
      </c>
      <c r="E22" s="902" t="s">
        <v>217</v>
      </c>
      <c r="F22" s="903">
        <f>COUNTIF('Tower Abstarct '!$D$5:D320,E22)</f>
        <v>1</v>
      </c>
      <c r="G22" s="1709"/>
      <c r="H22" s="1698"/>
      <c r="I22" s="891">
        <f>SUBTOTAL(103,$J$5:J22)</f>
        <v>18</v>
      </c>
      <c r="J22" s="407" t="s">
        <v>1267</v>
      </c>
      <c r="K22" s="892" t="s">
        <v>49</v>
      </c>
      <c r="M22" s="407" t="s">
        <v>217</v>
      </c>
      <c r="N22" s="869">
        <f t="shared" si="0"/>
        <v>1</v>
      </c>
      <c r="O22" s="1716"/>
      <c r="P22" s="1713"/>
    </row>
    <row r="23" spans="1:16" s="136" customFormat="1" ht="18.75" customHeight="1">
      <c r="A23" s="884">
        <v>19</v>
      </c>
      <c r="B23" s="756" t="s">
        <v>457</v>
      </c>
      <c r="C23" s="886" t="s">
        <v>79</v>
      </c>
      <c r="E23" s="904" t="s">
        <v>173</v>
      </c>
      <c r="F23" s="903">
        <v>1</v>
      </c>
      <c r="G23" s="1709">
        <v>3</v>
      </c>
      <c r="H23" s="1698"/>
      <c r="I23" s="891">
        <f>SUBTOTAL(103,$J$5:J23)</f>
        <v>19</v>
      </c>
      <c r="J23" s="407" t="s">
        <v>1268</v>
      </c>
      <c r="K23" s="892" t="s">
        <v>79</v>
      </c>
      <c r="M23" s="407" t="s">
        <v>173</v>
      </c>
      <c r="N23" s="869">
        <f t="shared" si="0"/>
        <v>2</v>
      </c>
      <c r="O23" s="1716">
        <v>5</v>
      </c>
      <c r="P23" s="1713">
        <v>4</v>
      </c>
    </row>
    <row r="24" spans="1:16" s="136" customFormat="1" ht="18.75" customHeight="1">
      <c r="A24" s="884">
        <v>20</v>
      </c>
      <c r="B24" s="756" t="s">
        <v>458</v>
      </c>
      <c r="C24" s="886" t="s">
        <v>79</v>
      </c>
      <c r="E24" s="904" t="s">
        <v>250</v>
      </c>
      <c r="F24" s="903">
        <f>COUNTIF('Tower Abstarct '!$D$5:D322,E24)</f>
        <v>1</v>
      </c>
      <c r="G24" s="1709"/>
      <c r="H24" s="1698"/>
      <c r="I24" s="942">
        <f>SUBTOTAL(103,$J$5:J24)</f>
        <v>20</v>
      </c>
      <c r="J24" s="622" t="s">
        <v>256</v>
      </c>
      <c r="K24" s="895" t="s">
        <v>215</v>
      </c>
      <c r="M24" s="407" t="s">
        <v>250</v>
      </c>
      <c r="N24" s="869">
        <f t="shared" si="0"/>
        <v>1</v>
      </c>
      <c r="O24" s="1716"/>
      <c r="P24" s="1713"/>
    </row>
    <row r="25" spans="1:16" s="136" customFormat="1" ht="18.75" customHeight="1">
      <c r="A25" s="884">
        <v>21</v>
      </c>
      <c r="B25" s="921" t="s">
        <v>892</v>
      </c>
      <c r="C25" s="922" t="s">
        <v>226</v>
      </c>
      <c r="E25" s="902" t="s">
        <v>430</v>
      </c>
      <c r="F25" s="903">
        <f>COUNTIF('Tower Abstarct '!$D$5:D322,E25)</f>
        <v>1</v>
      </c>
      <c r="G25" s="1709"/>
      <c r="H25" s="1698"/>
      <c r="I25" s="891">
        <f>SUBTOTAL(103,$J$5:J25)</f>
        <v>21</v>
      </c>
      <c r="J25" s="407" t="s">
        <v>454</v>
      </c>
      <c r="K25" s="892" t="s">
        <v>79</v>
      </c>
      <c r="M25" s="407" t="s">
        <v>430</v>
      </c>
      <c r="N25" s="869">
        <f t="shared" si="0"/>
        <v>2</v>
      </c>
      <c r="O25" s="1716"/>
      <c r="P25" s="1713"/>
    </row>
    <row r="26" spans="1:16" s="653" customFormat="1" ht="18.75" customHeight="1">
      <c r="A26" s="884">
        <v>22</v>
      </c>
      <c r="B26" s="756" t="s">
        <v>893</v>
      </c>
      <c r="C26" s="886" t="s">
        <v>79</v>
      </c>
      <c r="E26" s="905" t="s">
        <v>1227</v>
      </c>
      <c r="F26" s="870">
        <v>1</v>
      </c>
      <c r="G26" s="918">
        <v>1</v>
      </c>
      <c r="H26" s="1698"/>
      <c r="I26" s="891">
        <f>SUBTOTAL(103,$J$5:J26)</f>
        <v>22</v>
      </c>
      <c r="J26" s="407" t="s">
        <v>892</v>
      </c>
      <c r="K26" s="892" t="s">
        <v>226</v>
      </c>
      <c r="M26" s="869" t="s">
        <v>178</v>
      </c>
      <c r="N26" s="869">
        <f t="shared" si="0"/>
        <v>2</v>
      </c>
      <c r="O26" s="1716">
        <v>3</v>
      </c>
      <c r="P26" s="1712">
        <v>3</v>
      </c>
    </row>
    <row r="27" spans="1:16" s="136" customFormat="1" ht="18.75" customHeight="1">
      <c r="A27" s="884">
        <v>23</v>
      </c>
      <c r="B27" s="756" t="s">
        <v>894</v>
      </c>
      <c r="C27" s="886" t="s">
        <v>79</v>
      </c>
      <c r="E27" s="906" t="s">
        <v>178</v>
      </c>
      <c r="F27" s="907">
        <f>COUNTIF('Tower Abstarct '!$D$5:D323,E27)</f>
        <v>2</v>
      </c>
      <c r="G27" s="911">
        <v>2</v>
      </c>
      <c r="H27" s="1698"/>
      <c r="I27" s="891">
        <f>SUBTOTAL(103,$J$5:J27)</f>
        <v>23</v>
      </c>
      <c r="J27" s="407" t="s">
        <v>893</v>
      </c>
      <c r="K27" s="892" t="s">
        <v>79</v>
      </c>
      <c r="M27" s="407" t="s">
        <v>183</v>
      </c>
      <c r="N27" s="869">
        <f t="shared" si="0"/>
        <v>1</v>
      </c>
      <c r="O27" s="1716"/>
      <c r="P27" s="1712"/>
    </row>
    <row r="28" spans="1:16" s="136" customFormat="1" ht="18.75" customHeight="1">
      <c r="A28" s="884">
        <v>24</v>
      </c>
      <c r="B28" s="756" t="s">
        <v>895</v>
      </c>
      <c r="C28" s="886" t="s">
        <v>49</v>
      </c>
      <c r="E28" s="906" t="s">
        <v>188</v>
      </c>
      <c r="F28" s="907">
        <f>COUNTIF('Tower Abstarct '!$D$5:D324,E28)</f>
        <v>1</v>
      </c>
      <c r="G28" s="1709">
        <v>10</v>
      </c>
      <c r="H28" s="1698"/>
      <c r="I28" s="891">
        <f>SUBTOTAL(103,$J$5:J28)</f>
        <v>24</v>
      </c>
      <c r="J28" s="407" t="s">
        <v>894</v>
      </c>
      <c r="K28" s="892" t="s">
        <v>79</v>
      </c>
      <c r="M28" s="869" t="s">
        <v>188</v>
      </c>
      <c r="N28" s="869">
        <f t="shared" si="0"/>
        <v>1</v>
      </c>
      <c r="O28" s="1716">
        <v>10</v>
      </c>
      <c r="P28" s="1713">
        <v>10</v>
      </c>
    </row>
    <row r="29" spans="1:16" s="136" customFormat="1" ht="18.75" customHeight="1">
      <c r="A29" s="884">
        <v>25</v>
      </c>
      <c r="B29" s="756" t="s">
        <v>896</v>
      </c>
      <c r="C29" s="886" t="s">
        <v>79</v>
      </c>
      <c r="E29" s="906" t="s">
        <v>213</v>
      </c>
      <c r="F29" s="907">
        <f>COUNTIF('Tower Abstarct '!$D$5:D327,E29)</f>
        <v>2</v>
      </c>
      <c r="G29" s="1709"/>
      <c r="H29" s="1698"/>
      <c r="I29" s="891">
        <f>SUBTOTAL(103,$J$5:J29)</f>
        <v>25</v>
      </c>
      <c r="J29" s="407" t="s">
        <v>895</v>
      </c>
      <c r="K29" s="892" t="s">
        <v>49</v>
      </c>
      <c r="M29" s="407" t="s">
        <v>213</v>
      </c>
      <c r="N29" s="869">
        <f t="shared" si="0"/>
        <v>2</v>
      </c>
      <c r="O29" s="1716"/>
      <c r="P29" s="1713"/>
    </row>
    <row r="30" spans="1:16" s="136" customFormat="1" ht="18.75" customHeight="1">
      <c r="A30" s="884">
        <v>26</v>
      </c>
      <c r="B30" s="756" t="s">
        <v>897</v>
      </c>
      <c r="C30" s="886" t="s">
        <v>49</v>
      </c>
      <c r="E30" s="906" t="s">
        <v>209</v>
      </c>
      <c r="F30" s="907">
        <f>COUNTIF('Tower Abstarct '!$D$5:D329,E30)</f>
        <v>1</v>
      </c>
      <c r="G30" s="1709"/>
      <c r="H30" s="1698"/>
      <c r="I30" s="891">
        <f>SUBTOTAL(103,$J$5:J30)</f>
        <v>26</v>
      </c>
      <c r="J30" s="407" t="s">
        <v>896</v>
      </c>
      <c r="K30" s="892" t="s">
        <v>79</v>
      </c>
      <c r="M30" s="407" t="s">
        <v>209</v>
      </c>
      <c r="N30" s="869">
        <f t="shared" si="0"/>
        <v>1</v>
      </c>
      <c r="O30" s="1716"/>
      <c r="P30" s="1713"/>
    </row>
    <row r="31" spans="1:16" s="136" customFormat="1" ht="18.75" customHeight="1">
      <c r="A31" s="884">
        <v>27</v>
      </c>
      <c r="B31" s="756" t="s">
        <v>898</v>
      </c>
      <c r="C31" s="886" t="s">
        <v>49</v>
      </c>
      <c r="E31" s="906" t="s">
        <v>186</v>
      </c>
      <c r="F31" s="907">
        <f>COUNTIF('Tower Abstarct '!$D$5:D325,E31)</f>
        <v>3</v>
      </c>
      <c r="G31" s="1709"/>
      <c r="H31" s="1698"/>
      <c r="I31" s="891">
        <f>SUBTOTAL(103,$J$5:J31)</f>
        <v>27</v>
      </c>
      <c r="J31" s="407" t="s">
        <v>897</v>
      </c>
      <c r="K31" s="892" t="s">
        <v>49</v>
      </c>
      <c r="M31" s="407" t="s">
        <v>186</v>
      </c>
      <c r="N31" s="869">
        <f t="shared" si="0"/>
        <v>3</v>
      </c>
      <c r="O31" s="1716"/>
      <c r="P31" s="1713"/>
    </row>
    <row r="32" spans="1:16" s="136" customFormat="1" ht="18.75" customHeight="1">
      <c r="A32" s="884">
        <v>28</v>
      </c>
      <c r="B32" s="921" t="s">
        <v>257</v>
      </c>
      <c r="C32" s="886" t="s">
        <v>227</v>
      </c>
      <c r="E32" s="906" t="s">
        <v>218</v>
      </c>
      <c r="F32" s="907">
        <f>COUNTIF('Tower Abstarct '!$D$5:D326,E32)</f>
        <v>1</v>
      </c>
      <c r="G32" s="1709"/>
      <c r="H32" s="1698"/>
      <c r="I32" s="891">
        <f>SUBTOTAL(103,$J$5:J32)</f>
        <v>28</v>
      </c>
      <c r="J32" s="407" t="s">
        <v>898</v>
      </c>
      <c r="K32" s="892" t="s">
        <v>49</v>
      </c>
      <c r="M32" s="407" t="s">
        <v>218</v>
      </c>
      <c r="N32" s="869">
        <f t="shared" si="0"/>
        <v>1</v>
      </c>
      <c r="O32" s="1716"/>
      <c r="P32" s="1713"/>
    </row>
    <row r="33" spans="1:16" s="136" customFormat="1" ht="18.75" customHeight="1">
      <c r="A33" s="884">
        <v>29</v>
      </c>
      <c r="B33" s="756" t="s">
        <v>459</v>
      </c>
      <c r="C33" s="886" t="s">
        <v>79</v>
      </c>
      <c r="E33" s="906" t="s">
        <v>431</v>
      </c>
      <c r="F33" s="907">
        <f>COUNTIF('Tower Abstarct '!$D$5:D328,E33)</f>
        <v>2</v>
      </c>
      <c r="G33" s="1709"/>
      <c r="H33" s="1698"/>
      <c r="I33" s="891">
        <f>SUBTOTAL(103,$J$5:J33)</f>
        <v>29</v>
      </c>
      <c r="J33" s="407" t="s">
        <v>257</v>
      </c>
      <c r="K33" s="892" t="s">
        <v>227</v>
      </c>
      <c r="M33" s="407" t="s">
        <v>431</v>
      </c>
      <c r="N33" s="869">
        <f t="shared" si="0"/>
        <v>2</v>
      </c>
      <c r="O33" s="1716"/>
      <c r="P33" s="1713"/>
    </row>
    <row r="34" spans="1:16" s="136" customFormat="1" ht="18.75" customHeight="1">
      <c r="A34" s="884">
        <v>30</v>
      </c>
      <c r="B34" s="756" t="s">
        <v>460</v>
      </c>
      <c r="C34" s="886" t="s">
        <v>49</v>
      </c>
      <c r="E34" s="1703" t="s">
        <v>988</v>
      </c>
      <c r="F34" s="1704"/>
      <c r="G34" s="911">
        <f>SUM(G4:G33)</f>
        <v>298</v>
      </c>
      <c r="H34" s="1698"/>
      <c r="I34" s="891">
        <f>SUBTOTAL(103,$J$5:J34)</f>
        <v>30</v>
      </c>
      <c r="J34" s="407" t="s">
        <v>459</v>
      </c>
      <c r="K34" s="892" t="s">
        <v>79</v>
      </c>
      <c r="M34" s="1705" t="s">
        <v>988</v>
      </c>
      <c r="N34" s="1705"/>
      <c r="O34" s="1205">
        <f>SUM(O4:O33)</f>
        <v>306</v>
      </c>
      <c r="P34" s="1205">
        <f>SUM(P4:P33)</f>
        <v>306</v>
      </c>
    </row>
    <row r="35" spans="1:16" s="136" customFormat="1" ht="18.75" customHeight="1">
      <c r="A35" s="884">
        <v>31</v>
      </c>
      <c r="B35" s="756" t="s">
        <v>461</v>
      </c>
      <c r="C35" s="886" t="s">
        <v>49</v>
      </c>
      <c r="G35" s="912"/>
      <c r="H35" s="1698"/>
      <c r="I35" s="891">
        <f>SUBTOTAL(103,$J$5:J35)</f>
        <v>31</v>
      </c>
      <c r="J35" s="407" t="s">
        <v>460</v>
      </c>
      <c r="K35" s="892" t="s">
        <v>49</v>
      </c>
    </row>
    <row r="36" spans="1:16" s="136" customFormat="1" ht="18.75" customHeight="1">
      <c r="A36" s="884">
        <v>32</v>
      </c>
      <c r="B36" s="756" t="s">
        <v>462</v>
      </c>
      <c r="C36" s="886" t="s">
        <v>154</v>
      </c>
      <c r="G36" s="912"/>
      <c r="H36" s="1698"/>
      <c r="I36" s="891">
        <f>SUBTOTAL(103,$J$5:J36)</f>
        <v>32</v>
      </c>
      <c r="J36" s="407" t="s">
        <v>461</v>
      </c>
      <c r="K36" s="892" t="s">
        <v>49</v>
      </c>
    </row>
    <row r="37" spans="1:16" s="136" customFormat="1" ht="18.75" customHeight="1">
      <c r="A37" s="884">
        <v>33</v>
      </c>
      <c r="B37" s="756" t="s">
        <v>463</v>
      </c>
      <c r="C37" s="886" t="s">
        <v>79</v>
      </c>
      <c r="G37" s="912"/>
      <c r="H37" s="1698"/>
      <c r="I37" s="891">
        <f>SUBTOTAL(103,$J$5:J37)</f>
        <v>33</v>
      </c>
      <c r="J37" s="407" t="s">
        <v>462</v>
      </c>
      <c r="K37" s="892" t="s">
        <v>154</v>
      </c>
    </row>
    <row r="38" spans="1:16" s="136" customFormat="1" ht="18.75" customHeight="1">
      <c r="A38" s="884">
        <v>34</v>
      </c>
      <c r="B38" s="756" t="s">
        <v>464</v>
      </c>
      <c r="C38" s="886" t="s">
        <v>2</v>
      </c>
      <c r="G38" s="912"/>
      <c r="H38" s="1698"/>
      <c r="I38" s="891">
        <f>SUBTOTAL(103,$J$5:J38)</f>
        <v>34</v>
      </c>
      <c r="J38" s="407" t="s">
        <v>463</v>
      </c>
      <c r="K38" s="892" t="s">
        <v>79</v>
      </c>
    </row>
    <row r="39" spans="1:16" s="136" customFormat="1" ht="18.75" customHeight="1">
      <c r="A39" s="884">
        <v>35</v>
      </c>
      <c r="B39" s="756" t="s">
        <v>465</v>
      </c>
      <c r="C39" s="886" t="s">
        <v>49</v>
      </c>
      <c r="G39" s="912"/>
      <c r="H39" s="1698"/>
      <c r="I39" s="891">
        <f>SUBTOTAL(103,$J$5:J39)</f>
        <v>35</v>
      </c>
      <c r="J39" s="407" t="s">
        <v>464</v>
      </c>
      <c r="K39" s="892" t="s">
        <v>2</v>
      </c>
    </row>
    <row r="40" spans="1:16" s="136" customFormat="1" ht="18.75" customHeight="1">
      <c r="A40" s="884">
        <v>36</v>
      </c>
      <c r="B40" s="756" t="s">
        <v>466</v>
      </c>
      <c r="C40" s="886" t="s">
        <v>79</v>
      </c>
      <c r="G40" s="912"/>
      <c r="H40" s="1698"/>
      <c r="I40" s="891">
        <f>SUBTOTAL(103,$J$5:J40)</f>
        <v>36</v>
      </c>
      <c r="J40" s="407" t="s">
        <v>465</v>
      </c>
      <c r="K40" s="892" t="s">
        <v>49</v>
      </c>
    </row>
    <row r="41" spans="1:16" s="136" customFormat="1" ht="18.75" customHeight="1">
      <c r="A41" s="884">
        <v>37</v>
      </c>
      <c r="B41" s="756" t="s">
        <v>467</v>
      </c>
      <c r="C41" s="886" t="s">
        <v>79</v>
      </c>
      <c r="G41" s="912"/>
      <c r="H41" s="1698"/>
      <c r="I41" s="891">
        <f>SUBTOTAL(103,$J$5:J41)</f>
        <v>37</v>
      </c>
      <c r="J41" s="407" t="s">
        <v>466</v>
      </c>
      <c r="K41" s="892" t="s">
        <v>79</v>
      </c>
    </row>
    <row r="42" spans="1:16" s="136" customFormat="1" ht="18.75" customHeight="1">
      <c r="A42" s="884">
        <v>38</v>
      </c>
      <c r="B42" s="756" t="s">
        <v>468</v>
      </c>
      <c r="C42" s="886" t="s">
        <v>49</v>
      </c>
      <c r="G42" s="912"/>
      <c r="H42" s="1698"/>
      <c r="I42" s="891">
        <f>SUBTOTAL(103,$J$5:J42)</f>
        <v>38</v>
      </c>
      <c r="J42" s="407" t="s">
        <v>467</v>
      </c>
      <c r="K42" s="892" t="s">
        <v>79</v>
      </c>
    </row>
    <row r="43" spans="1:16" s="136" customFormat="1" ht="18.75" customHeight="1">
      <c r="A43" s="884">
        <v>39</v>
      </c>
      <c r="B43" s="756" t="s">
        <v>674</v>
      </c>
      <c r="C43" s="886" t="s">
        <v>403</v>
      </c>
      <c r="G43" s="912"/>
      <c r="H43" s="1698"/>
      <c r="I43" s="891">
        <f>SUBTOTAL(103,$J$5:J43)</f>
        <v>39</v>
      </c>
      <c r="J43" s="407" t="s">
        <v>468</v>
      </c>
      <c r="K43" s="892" t="s">
        <v>49</v>
      </c>
    </row>
    <row r="44" spans="1:16" s="653" customFormat="1" ht="18.75" customHeight="1">
      <c r="A44" s="923">
        <v>40</v>
      </c>
      <c r="B44" s="921" t="s">
        <v>258</v>
      </c>
      <c r="C44" s="922" t="s">
        <v>211</v>
      </c>
      <c r="G44" s="913"/>
      <c r="H44" s="1698"/>
      <c r="I44" s="896">
        <f>SUBTOTAL(103,$J$5:J44)</f>
        <v>40</v>
      </c>
      <c r="J44" s="407" t="s">
        <v>674</v>
      </c>
      <c r="K44" s="892" t="s">
        <v>403</v>
      </c>
    </row>
    <row r="45" spans="1:16" s="653" customFormat="1" ht="18.75" customHeight="1">
      <c r="A45" s="923">
        <v>41</v>
      </c>
      <c r="B45" s="921" t="s">
        <v>259</v>
      </c>
      <c r="C45" s="922" t="s">
        <v>49</v>
      </c>
      <c r="G45" s="913"/>
      <c r="H45" s="1698"/>
      <c r="I45" s="896">
        <f>SUBTOTAL(103,$J$5:J45)</f>
        <v>41</v>
      </c>
      <c r="J45" s="407" t="s">
        <v>258</v>
      </c>
      <c r="K45" s="892" t="s">
        <v>211</v>
      </c>
    </row>
    <row r="46" spans="1:16" s="653" customFormat="1" ht="18.75" customHeight="1">
      <c r="A46" s="923">
        <v>42</v>
      </c>
      <c r="B46" s="921" t="s">
        <v>260</v>
      </c>
      <c r="C46" s="922" t="s">
        <v>79</v>
      </c>
      <c r="G46" s="913"/>
      <c r="H46" s="1698"/>
      <c r="I46" s="896">
        <f>SUBTOTAL(103,$J$5:J46)</f>
        <v>42</v>
      </c>
      <c r="J46" s="407" t="s">
        <v>259</v>
      </c>
      <c r="K46" s="892" t="s">
        <v>49</v>
      </c>
    </row>
    <row r="47" spans="1:16" s="653" customFormat="1" ht="18.75" customHeight="1">
      <c r="A47" s="923">
        <v>43</v>
      </c>
      <c r="B47" s="921" t="s">
        <v>469</v>
      </c>
      <c r="C47" s="922" t="s">
        <v>2</v>
      </c>
      <c r="G47" s="913"/>
      <c r="H47" s="1698"/>
      <c r="I47" s="896">
        <f>SUBTOTAL(103,$J$5:J47)</f>
        <v>43</v>
      </c>
      <c r="J47" s="407" t="s">
        <v>260</v>
      </c>
      <c r="K47" s="892" t="s">
        <v>79</v>
      </c>
    </row>
    <row r="48" spans="1:16" s="653" customFormat="1" ht="18.75" customHeight="1">
      <c r="A48" s="923">
        <v>44</v>
      </c>
      <c r="B48" s="921" t="s">
        <v>470</v>
      </c>
      <c r="C48" s="922" t="s">
        <v>49</v>
      </c>
      <c r="G48" s="913"/>
      <c r="H48" s="1698"/>
      <c r="I48" s="896">
        <f>SUBTOTAL(103,$J$5:J48)</f>
        <v>44</v>
      </c>
      <c r="J48" s="407" t="s">
        <v>469</v>
      </c>
      <c r="K48" s="892" t="s">
        <v>2</v>
      </c>
    </row>
    <row r="49" spans="1:11" s="653" customFormat="1" ht="18.75" customHeight="1">
      <c r="A49" s="923">
        <v>45</v>
      </c>
      <c r="B49" s="921" t="s">
        <v>471</v>
      </c>
      <c r="C49" s="922" t="s">
        <v>49</v>
      </c>
      <c r="G49" s="913"/>
      <c r="H49" s="1698"/>
      <c r="I49" s="896">
        <f>SUBTOTAL(103,$J$5:J49)</f>
        <v>45</v>
      </c>
      <c r="J49" s="407" t="s">
        <v>470</v>
      </c>
      <c r="K49" s="892" t="s">
        <v>49</v>
      </c>
    </row>
    <row r="50" spans="1:11" s="653" customFormat="1" ht="18.75" customHeight="1">
      <c r="A50" s="923">
        <v>46</v>
      </c>
      <c r="B50" s="921" t="s">
        <v>472</v>
      </c>
      <c r="C50" s="922" t="s">
        <v>4</v>
      </c>
      <c r="G50" s="913"/>
      <c r="H50" s="1698"/>
      <c r="I50" s="896">
        <f>SUBTOTAL(103,$J$5:J50)</f>
        <v>46</v>
      </c>
      <c r="J50" s="407" t="s">
        <v>471</v>
      </c>
      <c r="K50" s="892" t="s">
        <v>49</v>
      </c>
    </row>
    <row r="51" spans="1:11" s="653" customFormat="1" ht="18.75" customHeight="1">
      <c r="A51" s="923">
        <v>47</v>
      </c>
      <c r="B51" s="921" t="s">
        <v>473</v>
      </c>
      <c r="C51" s="922" t="s">
        <v>170</v>
      </c>
      <c r="G51" s="913"/>
      <c r="H51" s="1698"/>
      <c r="I51" s="896">
        <f>SUBTOTAL(103,$J$5:J51)</f>
        <v>47</v>
      </c>
      <c r="J51" s="407" t="s">
        <v>472</v>
      </c>
      <c r="K51" s="892" t="s">
        <v>4</v>
      </c>
    </row>
    <row r="52" spans="1:11" s="653" customFormat="1" ht="18.75" customHeight="1">
      <c r="A52" s="923">
        <v>48</v>
      </c>
      <c r="B52" s="921" t="s">
        <v>474</v>
      </c>
      <c r="C52" s="922" t="s">
        <v>2</v>
      </c>
      <c r="G52" s="913"/>
      <c r="H52" s="1698"/>
      <c r="I52" s="896">
        <f>SUBTOTAL(103,$J$5:J52)</f>
        <v>48</v>
      </c>
      <c r="J52" s="407" t="s">
        <v>473</v>
      </c>
      <c r="K52" s="892" t="s">
        <v>170</v>
      </c>
    </row>
    <row r="53" spans="1:11" s="653" customFormat="1" ht="18.75" customHeight="1">
      <c r="A53" s="923">
        <v>49</v>
      </c>
      <c r="B53" s="921" t="s">
        <v>475</v>
      </c>
      <c r="C53" s="922" t="s">
        <v>79</v>
      </c>
      <c r="G53" s="913"/>
      <c r="H53" s="1698"/>
      <c r="I53" s="896">
        <f>SUBTOTAL(103,$J$5:J53)</f>
        <v>49</v>
      </c>
      <c r="J53" s="407" t="s">
        <v>474</v>
      </c>
      <c r="K53" s="892" t="s">
        <v>2</v>
      </c>
    </row>
    <row r="54" spans="1:11" s="653" customFormat="1" ht="18.75" customHeight="1">
      <c r="A54" s="923">
        <v>50</v>
      </c>
      <c r="B54" s="921" t="s">
        <v>476</v>
      </c>
      <c r="C54" s="922" t="s">
        <v>170</v>
      </c>
      <c r="G54" s="913"/>
      <c r="H54" s="1698"/>
      <c r="I54" s="896">
        <f>SUBTOTAL(103,$J$5:J54)</f>
        <v>50</v>
      </c>
      <c r="J54" s="407" t="s">
        <v>475</v>
      </c>
      <c r="K54" s="892" t="s">
        <v>79</v>
      </c>
    </row>
    <row r="55" spans="1:11" s="653" customFormat="1" ht="18.75" customHeight="1">
      <c r="A55" s="923">
        <v>51</v>
      </c>
      <c r="B55" s="921" t="s">
        <v>477</v>
      </c>
      <c r="C55" s="922" t="s">
        <v>154</v>
      </c>
      <c r="G55" s="913"/>
      <c r="H55" s="1698"/>
      <c r="I55" s="896">
        <f>SUBTOTAL(103,$J$5:J55)</f>
        <v>51</v>
      </c>
      <c r="J55" s="407" t="s">
        <v>476</v>
      </c>
      <c r="K55" s="892" t="s">
        <v>170</v>
      </c>
    </row>
    <row r="56" spans="1:11" s="653" customFormat="1" ht="18.75" customHeight="1">
      <c r="A56" s="923">
        <v>52</v>
      </c>
      <c r="B56" s="921" t="s">
        <v>492</v>
      </c>
      <c r="C56" s="922" t="s">
        <v>170</v>
      </c>
      <c r="G56" s="913"/>
      <c r="H56" s="1698"/>
      <c r="I56" s="896">
        <f>SUBTOTAL(103,$J$5:J56)</f>
        <v>52</v>
      </c>
      <c r="J56" s="407" t="s">
        <v>477</v>
      </c>
      <c r="K56" s="892" t="s">
        <v>154</v>
      </c>
    </row>
    <row r="57" spans="1:11" s="653" customFormat="1" ht="18.75" customHeight="1">
      <c r="A57" s="923">
        <v>53</v>
      </c>
      <c r="B57" s="921" t="s">
        <v>261</v>
      </c>
      <c r="C57" s="922" t="s">
        <v>184</v>
      </c>
      <c r="G57" s="913"/>
      <c r="H57" s="1698"/>
      <c r="I57" s="896">
        <f>SUBTOTAL(103,$J$5:J57)</f>
        <v>53</v>
      </c>
      <c r="J57" s="407" t="s">
        <v>492</v>
      </c>
      <c r="K57" s="892" t="s">
        <v>170</v>
      </c>
    </row>
    <row r="58" spans="1:11" s="653" customFormat="1" ht="18.75" customHeight="1">
      <c r="A58" s="923">
        <v>54</v>
      </c>
      <c r="B58" s="921" t="s">
        <v>478</v>
      </c>
      <c r="C58" s="922" t="s">
        <v>4</v>
      </c>
      <c r="G58" s="913"/>
      <c r="H58" s="1698"/>
      <c r="I58" s="896">
        <f>SUBTOTAL(103,$J$5:J58)</f>
        <v>54</v>
      </c>
      <c r="J58" s="407" t="s">
        <v>261</v>
      </c>
      <c r="K58" s="892" t="s">
        <v>184</v>
      </c>
    </row>
    <row r="59" spans="1:11" s="653" customFormat="1" ht="18.75" customHeight="1">
      <c r="A59" s="923">
        <v>55</v>
      </c>
      <c r="B59" s="921" t="s">
        <v>479</v>
      </c>
      <c r="C59" s="922" t="s">
        <v>79</v>
      </c>
      <c r="G59" s="913"/>
      <c r="H59" s="1698"/>
      <c r="I59" s="896">
        <f>SUBTOTAL(103,$J$5:J59)</f>
        <v>55</v>
      </c>
      <c r="J59" s="407" t="s">
        <v>478</v>
      </c>
      <c r="K59" s="892" t="s">
        <v>4</v>
      </c>
    </row>
    <row r="60" spans="1:11" s="653" customFormat="1" ht="18.75" customHeight="1">
      <c r="A60" s="923">
        <v>56</v>
      </c>
      <c r="B60" s="921" t="s">
        <v>480</v>
      </c>
      <c r="C60" s="922" t="s">
        <v>49</v>
      </c>
      <c r="G60" s="913"/>
      <c r="H60" s="1698"/>
      <c r="I60" s="896">
        <f>SUBTOTAL(103,$J$5:J60)</f>
        <v>56</v>
      </c>
      <c r="J60" s="407" t="s">
        <v>479</v>
      </c>
      <c r="K60" s="892" t="s">
        <v>79</v>
      </c>
    </row>
    <row r="61" spans="1:11" s="653" customFormat="1" ht="18.75" customHeight="1">
      <c r="A61" s="923">
        <v>57</v>
      </c>
      <c r="B61" s="921" t="s">
        <v>481</v>
      </c>
      <c r="C61" s="922" t="s">
        <v>79</v>
      </c>
      <c r="G61" s="913"/>
      <c r="H61" s="1698"/>
      <c r="I61" s="896">
        <f>SUBTOTAL(103,$J$5:J61)</f>
        <v>57</v>
      </c>
      <c r="J61" s="407" t="s">
        <v>480</v>
      </c>
      <c r="K61" s="892" t="s">
        <v>49</v>
      </c>
    </row>
    <row r="62" spans="1:11" s="653" customFormat="1" ht="18.75" customHeight="1">
      <c r="A62" s="923">
        <v>58</v>
      </c>
      <c r="B62" s="921" t="s">
        <v>482</v>
      </c>
      <c r="C62" s="922" t="s">
        <v>79</v>
      </c>
      <c r="G62" s="913"/>
      <c r="H62" s="1698"/>
      <c r="I62" s="896">
        <f>SUBTOTAL(103,$J$5:J62)</f>
        <v>58</v>
      </c>
      <c r="J62" s="407" t="s">
        <v>481</v>
      </c>
      <c r="K62" s="892" t="s">
        <v>79</v>
      </c>
    </row>
    <row r="63" spans="1:11" s="653" customFormat="1" ht="18.75" customHeight="1">
      <c r="A63" s="923">
        <v>59</v>
      </c>
      <c r="B63" s="921" t="s">
        <v>483</v>
      </c>
      <c r="C63" s="922" t="s">
        <v>154</v>
      </c>
      <c r="G63" s="913"/>
      <c r="H63" s="1698"/>
      <c r="I63" s="896">
        <f>SUBTOTAL(103,$J$5:J63)</f>
        <v>59</v>
      </c>
      <c r="J63" s="407" t="s">
        <v>482</v>
      </c>
      <c r="K63" s="892" t="s">
        <v>79</v>
      </c>
    </row>
    <row r="64" spans="1:11" s="653" customFormat="1" ht="18.75" customHeight="1">
      <c r="A64" s="923">
        <v>60</v>
      </c>
      <c r="B64" s="921" t="s">
        <v>493</v>
      </c>
      <c r="C64" s="922" t="s">
        <v>227</v>
      </c>
      <c r="G64" s="913"/>
      <c r="H64" s="1698"/>
      <c r="I64" s="896">
        <f>SUBTOTAL(103,$J$5:J64)</f>
        <v>60</v>
      </c>
      <c r="J64" s="407" t="s">
        <v>483</v>
      </c>
      <c r="K64" s="892" t="s">
        <v>154</v>
      </c>
    </row>
    <row r="65" spans="1:11" s="653" customFormat="1" ht="18.75" customHeight="1">
      <c r="A65" s="923">
        <v>61</v>
      </c>
      <c r="B65" s="921" t="s">
        <v>494</v>
      </c>
      <c r="C65" s="922" t="s">
        <v>170</v>
      </c>
      <c r="G65" s="913"/>
      <c r="H65" s="1698"/>
      <c r="I65" s="896">
        <f>SUBTOTAL(103,$J$5:J65)</f>
        <v>61</v>
      </c>
      <c r="J65" s="407" t="s">
        <v>493</v>
      </c>
      <c r="K65" s="892" t="s">
        <v>227</v>
      </c>
    </row>
    <row r="66" spans="1:11" s="653" customFormat="1" ht="18.75" customHeight="1">
      <c r="A66" s="923">
        <v>62</v>
      </c>
      <c r="B66" s="921" t="s">
        <v>495</v>
      </c>
      <c r="C66" s="922" t="s">
        <v>2</v>
      </c>
      <c r="G66" s="913"/>
      <c r="H66" s="1698"/>
      <c r="I66" s="896">
        <f>SUBTOTAL(103,$J$5:J66)</f>
        <v>62</v>
      </c>
      <c r="J66" s="407" t="s">
        <v>494</v>
      </c>
      <c r="K66" s="892" t="s">
        <v>170</v>
      </c>
    </row>
    <row r="67" spans="1:11" s="653" customFormat="1" ht="18.75" customHeight="1">
      <c r="A67" s="923">
        <v>63</v>
      </c>
      <c r="B67" s="921" t="s">
        <v>496</v>
      </c>
      <c r="C67" s="922" t="s">
        <v>2</v>
      </c>
      <c r="G67" s="913"/>
      <c r="H67" s="1698"/>
      <c r="I67" s="896">
        <f>SUBTOTAL(103,$J$5:J67)</f>
        <v>63</v>
      </c>
      <c r="J67" s="407" t="s">
        <v>495</v>
      </c>
      <c r="K67" s="892" t="s">
        <v>2</v>
      </c>
    </row>
    <row r="68" spans="1:11" s="653" customFormat="1" ht="18.75" customHeight="1">
      <c r="A68" s="923">
        <v>64</v>
      </c>
      <c r="B68" s="921" t="s">
        <v>497</v>
      </c>
      <c r="C68" s="922" t="s">
        <v>2</v>
      </c>
      <c r="G68" s="913"/>
      <c r="H68" s="1698"/>
      <c r="I68" s="896">
        <f>SUBTOTAL(103,$J$5:J68)</f>
        <v>64</v>
      </c>
      <c r="J68" s="407" t="s">
        <v>496</v>
      </c>
      <c r="K68" s="892" t="s">
        <v>2</v>
      </c>
    </row>
    <row r="69" spans="1:11" s="653" customFormat="1" ht="18.75" customHeight="1">
      <c r="A69" s="923">
        <v>65</v>
      </c>
      <c r="B69" s="921" t="s">
        <v>498</v>
      </c>
      <c r="C69" s="922" t="s">
        <v>2</v>
      </c>
      <c r="G69" s="913"/>
      <c r="H69" s="1698"/>
      <c r="I69" s="896">
        <f>SUBTOTAL(103,$J$5:J69)</f>
        <v>65</v>
      </c>
      <c r="J69" s="407" t="s">
        <v>497</v>
      </c>
      <c r="K69" s="892" t="s">
        <v>2</v>
      </c>
    </row>
    <row r="70" spans="1:11" s="653" customFormat="1" ht="18.75" customHeight="1">
      <c r="A70" s="923">
        <v>66</v>
      </c>
      <c r="B70" s="921" t="s">
        <v>262</v>
      </c>
      <c r="C70" s="922" t="s">
        <v>197</v>
      </c>
      <c r="G70" s="913"/>
      <c r="H70" s="1698"/>
      <c r="I70" s="896">
        <f>SUBTOTAL(103,$J$5:J70)</f>
        <v>66</v>
      </c>
      <c r="J70" s="407" t="s">
        <v>498</v>
      </c>
      <c r="K70" s="892" t="s">
        <v>2</v>
      </c>
    </row>
    <row r="71" spans="1:11" s="653" customFormat="1" ht="18.75" customHeight="1">
      <c r="A71" s="923">
        <v>67</v>
      </c>
      <c r="B71" s="921" t="s">
        <v>392</v>
      </c>
      <c r="C71" s="922" t="s">
        <v>4</v>
      </c>
      <c r="G71" s="913"/>
      <c r="H71" s="1698"/>
      <c r="I71" s="896">
        <f>SUBTOTAL(103,$J$5:J71)</f>
        <v>67</v>
      </c>
      <c r="J71" s="407" t="s">
        <v>262</v>
      </c>
      <c r="K71" s="892" t="s">
        <v>197</v>
      </c>
    </row>
    <row r="72" spans="1:11" s="653" customFormat="1" ht="18.75" customHeight="1">
      <c r="A72" s="923">
        <v>68</v>
      </c>
      <c r="B72" s="921" t="s">
        <v>393</v>
      </c>
      <c r="C72" s="922" t="s">
        <v>79</v>
      </c>
      <c r="G72" s="913"/>
      <c r="H72" s="1698"/>
      <c r="I72" s="896">
        <f>SUBTOTAL(103,$J$5:J72)</f>
        <v>68</v>
      </c>
      <c r="J72" s="407" t="s">
        <v>392</v>
      </c>
      <c r="K72" s="892" t="s">
        <v>4</v>
      </c>
    </row>
    <row r="73" spans="1:11" s="653" customFormat="1" ht="18.75" customHeight="1">
      <c r="A73" s="923">
        <v>69</v>
      </c>
      <c r="B73" s="921" t="s">
        <v>394</v>
      </c>
      <c r="C73" s="922" t="s">
        <v>49</v>
      </c>
      <c r="G73" s="913"/>
      <c r="H73" s="1698"/>
      <c r="I73" s="896">
        <f>SUBTOTAL(103,$J$5:J73)</f>
        <v>69</v>
      </c>
      <c r="J73" s="407" t="s">
        <v>393</v>
      </c>
      <c r="K73" s="892" t="s">
        <v>79</v>
      </c>
    </row>
    <row r="74" spans="1:11" s="653" customFormat="1" ht="18.75" customHeight="1">
      <c r="A74" s="923">
        <v>70</v>
      </c>
      <c r="B74" s="921" t="s">
        <v>395</v>
      </c>
      <c r="C74" s="922" t="s">
        <v>79</v>
      </c>
      <c r="G74" s="913"/>
      <c r="H74" s="1698"/>
      <c r="I74" s="896">
        <f>SUBTOTAL(103,$J$5:J74)</f>
        <v>70</v>
      </c>
      <c r="J74" s="407" t="s">
        <v>394</v>
      </c>
      <c r="K74" s="892" t="s">
        <v>49</v>
      </c>
    </row>
    <row r="75" spans="1:11" s="653" customFormat="1" ht="18.75" customHeight="1">
      <c r="A75" s="923">
        <v>71</v>
      </c>
      <c r="B75" s="921" t="s">
        <v>396</v>
      </c>
      <c r="C75" s="922" t="s">
        <v>49</v>
      </c>
      <c r="G75" s="913"/>
      <c r="H75" s="1698"/>
      <c r="I75" s="896">
        <f>SUBTOTAL(103,$J$5:J75)</f>
        <v>71</v>
      </c>
      <c r="J75" s="407" t="s">
        <v>395</v>
      </c>
      <c r="K75" s="892" t="s">
        <v>79</v>
      </c>
    </row>
    <row r="76" spans="1:11" s="653" customFormat="1" ht="18.75" customHeight="1">
      <c r="A76" s="923">
        <v>72</v>
      </c>
      <c r="B76" s="921" t="s">
        <v>397</v>
      </c>
      <c r="C76" s="922" t="s">
        <v>2</v>
      </c>
      <c r="G76" s="913"/>
      <c r="H76" s="1698"/>
      <c r="I76" s="896">
        <f>SUBTOTAL(103,$J$5:J76)</f>
        <v>72</v>
      </c>
      <c r="J76" s="407" t="s">
        <v>396</v>
      </c>
      <c r="K76" s="892" t="s">
        <v>49</v>
      </c>
    </row>
    <row r="77" spans="1:11" s="653" customFormat="1" ht="18.75" customHeight="1">
      <c r="A77" s="923">
        <v>73</v>
      </c>
      <c r="B77" s="921" t="s">
        <v>398</v>
      </c>
      <c r="C77" s="922" t="s">
        <v>2</v>
      </c>
      <c r="G77" s="913"/>
      <c r="H77" s="1698"/>
      <c r="I77" s="896">
        <f>SUBTOTAL(103,$J$5:J77)</f>
        <v>73</v>
      </c>
      <c r="J77" s="407" t="s">
        <v>397</v>
      </c>
      <c r="K77" s="892" t="s">
        <v>2</v>
      </c>
    </row>
    <row r="78" spans="1:11" s="653" customFormat="1" ht="18.75" customHeight="1">
      <c r="A78" s="923">
        <v>74</v>
      </c>
      <c r="B78" s="921" t="s">
        <v>399</v>
      </c>
      <c r="C78" s="922" t="s">
        <v>49</v>
      </c>
      <c r="G78" s="913"/>
      <c r="H78" s="1698"/>
      <c r="I78" s="896">
        <f>SUBTOTAL(103,$J$5:J78)</f>
        <v>74</v>
      </c>
      <c r="J78" s="407" t="s">
        <v>398</v>
      </c>
      <c r="K78" s="892" t="s">
        <v>2</v>
      </c>
    </row>
    <row r="79" spans="1:11" s="653" customFormat="1" ht="18.75" customHeight="1">
      <c r="A79" s="923">
        <v>75</v>
      </c>
      <c r="B79" s="921" t="s">
        <v>400</v>
      </c>
      <c r="C79" s="922" t="s">
        <v>2</v>
      </c>
      <c r="G79" s="913"/>
      <c r="H79" s="1698"/>
      <c r="I79" s="896">
        <f>SUBTOTAL(103,$J$5:J79)</f>
        <v>75</v>
      </c>
      <c r="J79" s="407" t="s">
        <v>399</v>
      </c>
      <c r="K79" s="892" t="s">
        <v>49</v>
      </c>
    </row>
    <row r="80" spans="1:11" s="653" customFormat="1" ht="18.75" customHeight="1">
      <c r="A80" s="923">
        <v>76</v>
      </c>
      <c r="B80" s="921" t="s">
        <v>401</v>
      </c>
      <c r="C80" s="922" t="s">
        <v>3</v>
      </c>
      <c r="G80" s="913"/>
      <c r="H80" s="1698"/>
      <c r="I80" s="896">
        <f>SUBTOTAL(103,$J$5:J80)</f>
        <v>76</v>
      </c>
      <c r="J80" s="407" t="s">
        <v>400</v>
      </c>
      <c r="K80" s="892" t="s">
        <v>2</v>
      </c>
    </row>
    <row r="81" spans="1:11" s="136" customFormat="1" ht="18.75" customHeight="1">
      <c r="A81" s="884">
        <v>77</v>
      </c>
      <c r="B81" s="756" t="s">
        <v>402</v>
      </c>
      <c r="C81" s="886" t="s">
        <v>49</v>
      </c>
      <c r="G81" s="912"/>
      <c r="H81" s="1698"/>
      <c r="I81" s="891">
        <f>SUBTOTAL(103,$J$5:J81)</f>
        <v>77</v>
      </c>
      <c r="J81" s="407" t="s">
        <v>401</v>
      </c>
      <c r="K81" s="892" t="s">
        <v>3</v>
      </c>
    </row>
    <row r="82" spans="1:11" s="136" customFormat="1" ht="18.75" customHeight="1">
      <c r="A82" s="884">
        <v>78</v>
      </c>
      <c r="B82" s="756" t="s">
        <v>484</v>
      </c>
      <c r="C82" s="886" t="s">
        <v>403</v>
      </c>
      <c r="G82" s="912"/>
      <c r="H82" s="1698"/>
      <c r="I82" s="891">
        <f>SUBTOTAL(103,$J$5:J82)</f>
        <v>78</v>
      </c>
      <c r="J82" s="407" t="s">
        <v>402</v>
      </c>
      <c r="K82" s="892" t="s">
        <v>49</v>
      </c>
    </row>
    <row r="83" spans="1:11" s="136" customFormat="1" ht="18.75" customHeight="1">
      <c r="A83" s="884">
        <v>79</v>
      </c>
      <c r="B83" s="756" t="s">
        <v>263</v>
      </c>
      <c r="C83" s="886" t="s">
        <v>403</v>
      </c>
      <c r="G83" s="912"/>
      <c r="H83" s="1698"/>
      <c r="I83" s="891">
        <f>SUBTOTAL(103,$J$5:J83)</f>
        <v>79</v>
      </c>
      <c r="J83" s="407" t="s">
        <v>484</v>
      </c>
      <c r="K83" s="892" t="s">
        <v>403</v>
      </c>
    </row>
    <row r="84" spans="1:11" s="136" customFormat="1" ht="18.75" customHeight="1">
      <c r="A84" s="884">
        <v>80</v>
      </c>
      <c r="B84" s="756" t="s">
        <v>404</v>
      </c>
      <c r="C84" s="886" t="s">
        <v>2</v>
      </c>
      <c r="G84" s="912"/>
      <c r="H84" s="1698"/>
      <c r="I84" s="891">
        <f>SUBTOTAL(103,$J$5:J84)</f>
        <v>80</v>
      </c>
      <c r="J84" s="407" t="s">
        <v>263</v>
      </c>
      <c r="K84" s="892" t="s">
        <v>403</v>
      </c>
    </row>
    <row r="85" spans="1:11" s="136" customFormat="1" ht="18.75" customHeight="1">
      <c r="A85" s="884">
        <v>81</v>
      </c>
      <c r="B85" s="756" t="s">
        <v>406</v>
      </c>
      <c r="C85" s="886" t="s">
        <v>2</v>
      </c>
      <c r="G85" s="912"/>
      <c r="H85" s="1698"/>
      <c r="I85" s="891">
        <f>SUBTOTAL(103,$J$5:J85)</f>
        <v>81</v>
      </c>
      <c r="J85" s="407" t="s">
        <v>404</v>
      </c>
      <c r="K85" s="892" t="s">
        <v>2</v>
      </c>
    </row>
    <row r="86" spans="1:11" s="136" customFormat="1" ht="18.75" customHeight="1">
      <c r="A86" s="884">
        <v>82</v>
      </c>
      <c r="B86" s="756" t="s">
        <v>407</v>
      </c>
      <c r="C86" s="886" t="s">
        <v>3</v>
      </c>
      <c r="G86" s="912"/>
      <c r="H86" s="1698"/>
      <c r="I86" s="891">
        <f>SUBTOTAL(103,$J$5:J86)</f>
        <v>82</v>
      </c>
      <c r="J86" s="407" t="s">
        <v>406</v>
      </c>
      <c r="K86" s="892" t="s">
        <v>2</v>
      </c>
    </row>
    <row r="87" spans="1:11" s="136" customFormat="1" ht="18.75" customHeight="1">
      <c r="A87" s="884">
        <v>83</v>
      </c>
      <c r="B87" s="756" t="s">
        <v>370</v>
      </c>
      <c r="C87" s="886" t="s">
        <v>79</v>
      </c>
      <c r="G87" s="912"/>
      <c r="H87" s="1698"/>
      <c r="I87" s="891">
        <f>SUBTOTAL(103,$J$5:J87)</f>
        <v>83</v>
      </c>
      <c r="J87" s="407" t="s">
        <v>407</v>
      </c>
      <c r="K87" s="892" t="s">
        <v>3</v>
      </c>
    </row>
    <row r="88" spans="1:11" s="136" customFormat="1" ht="18.75" customHeight="1">
      <c r="A88" s="884">
        <v>84</v>
      </c>
      <c r="B88" s="756" t="s">
        <v>371</v>
      </c>
      <c r="C88" s="886" t="s">
        <v>2</v>
      </c>
      <c r="G88" s="912"/>
      <c r="H88" s="1698"/>
      <c r="I88" s="891">
        <f>SUBTOTAL(103,$J$5:J88)</f>
        <v>84</v>
      </c>
      <c r="J88" s="407" t="s">
        <v>370</v>
      </c>
      <c r="K88" s="892" t="s">
        <v>79</v>
      </c>
    </row>
    <row r="89" spans="1:11" s="136" customFormat="1" ht="18.75" customHeight="1">
      <c r="A89" s="884">
        <v>85</v>
      </c>
      <c r="B89" s="756" t="s">
        <v>372</v>
      </c>
      <c r="C89" s="886" t="s">
        <v>2</v>
      </c>
      <c r="G89" s="912"/>
      <c r="H89" s="1698"/>
      <c r="I89" s="891">
        <f>SUBTOTAL(103,$J$5:J89)</f>
        <v>85</v>
      </c>
      <c r="J89" s="407" t="s">
        <v>371</v>
      </c>
      <c r="K89" s="892" t="s">
        <v>2</v>
      </c>
    </row>
    <row r="90" spans="1:11" s="136" customFormat="1" ht="18.75" customHeight="1">
      <c r="A90" s="884">
        <v>86</v>
      </c>
      <c r="B90" s="756" t="s">
        <v>408</v>
      </c>
      <c r="C90" s="886" t="s">
        <v>49</v>
      </c>
      <c r="G90" s="912"/>
      <c r="H90" s="1698"/>
      <c r="I90" s="891">
        <f>SUBTOTAL(103,$J$5:J90)</f>
        <v>86</v>
      </c>
      <c r="J90" s="407" t="s">
        <v>372</v>
      </c>
      <c r="K90" s="892" t="s">
        <v>2</v>
      </c>
    </row>
    <row r="91" spans="1:11" s="136" customFormat="1" ht="18.75" customHeight="1">
      <c r="A91" s="884">
        <v>87</v>
      </c>
      <c r="B91" s="756" t="s">
        <v>409</v>
      </c>
      <c r="C91" s="886" t="s">
        <v>3</v>
      </c>
      <c r="G91" s="912"/>
      <c r="H91" s="1698"/>
      <c r="I91" s="891">
        <f>SUBTOTAL(103,$J$5:J91)</f>
        <v>87</v>
      </c>
      <c r="J91" s="407" t="s">
        <v>408</v>
      </c>
      <c r="K91" s="892" t="s">
        <v>49</v>
      </c>
    </row>
    <row r="92" spans="1:11" s="136" customFormat="1" ht="18.75" customHeight="1">
      <c r="A92" s="884">
        <v>88</v>
      </c>
      <c r="B92" s="756" t="s">
        <v>410</v>
      </c>
      <c r="C92" s="886" t="s">
        <v>3</v>
      </c>
      <c r="G92" s="912"/>
      <c r="H92" s="1698"/>
      <c r="I92" s="891">
        <f>SUBTOTAL(103,$J$4:J93)</f>
        <v>90</v>
      </c>
      <c r="J92" s="407" t="s">
        <v>409</v>
      </c>
      <c r="K92" s="892" t="s">
        <v>3</v>
      </c>
    </row>
    <row r="93" spans="1:11" s="136" customFormat="1" ht="18.75" customHeight="1">
      <c r="A93" s="884">
        <v>89</v>
      </c>
      <c r="B93" s="756" t="s">
        <v>411</v>
      </c>
      <c r="C93" s="886" t="s">
        <v>2</v>
      </c>
      <c r="G93" s="912"/>
      <c r="H93" s="1698"/>
      <c r="I93" s="891">
        <f>SUBTOTAL(103,$J$5:J93)</f>
        <v>89</v>
      </c>
      <c r="J93" s="407" t="s">
        <v>410</v>
      </c>
      <c r="K93" s="892" t="s">
        <v>3</v>
      </c>
    </row>
    <row r="94" spans="1:11" s="136" customFormat="1" ht="18.75" customHeight="1">
      <c r="A94" s="884">
        <v>90</v>
      </c>
      <c r="B94" s="756" t="s">
        <v>412</v>
      </c>
      <c r="C94" s="886" t="s">
        <v>2</v>
      </c>
      <c r="G94" s="912"/>
      <c r="H94" s="1698"/>
      <c r="I94" s="891">
        <f>SUBTOTAL(103,$J$5:J94)</f>
        <v>90</v>
      </c>
      <c r="J94" s="407" t="s">
        <v>411</v>
      </c>
      <c r="K94" s="892" t="s">
        <v>2</v>
      </c>
    </row>
    <row r="95" spans="1:11" s="136" customFormat="1" ht="18.75" customHeight="1">
      <c r="A95" s="884">
        <v>91</v>
      </c>
      <c r="B95" s="756" t="s">
        <v>264</v>
      </c>
      <c r="C95" s="886" t="s">
        <v>227</v>
      </c>
      <c r="G95" s="912"/>
      <c r="H95" s="1698"/>
      <c r="I95" s="891">
        <f>SUBTOTAL(103,$J$5:J95)</f>
        <v>91</v>
      </c>
      <c r="J95" s="407" t="s">
        <v>412</v>
      </c>
      <c r="K95" s="892" t="s">
        <v>2</v>
      </c>
    </row>
    <row r="96" spans="1:11" s="136" customFormat="1" ht="18.75" customHeight="1">
      <c r="A96" s="884">
        <v>92</v>
      </c>
      <c r="B96" s="756" t="s">
        <v>413</v>
      </c>
      <c r="C96" s="886" t="s">
        <v>2</v>
      </c>
      <c r="G96" s="912"/>
      <c r="H96" s="1698"/>
      <c r="I96" s="891">
        <f>SUBTOTAL(103,$J$5:J96)</f>
        <v>92</v>
      </c>
      <c r="J96" s="407" t="s">
        <v>264</v>
      </c>
      <c r="K96" s="892" t="s">
        <v>227</v>
      </c>
    </row>
    <row r="97" spans="1:11" s="136" customFormat="1" ht="18.75" customHeight="1">
      <c r="A97" s="884">
        <v>93</v>
      </c>
      <c r="B97" s="756" t="s">
        <v>414</v>
      </c>
      <c r="C97" s="886" t="s">
        <v>2</v>
      </c>
      <c r="G97" s="912"/>
      <c r="H97" s="1698"/>
      <c r="I97" s="891">
        <f>SUBTOTAL(103,$J$5:J97)</f>
        <v>93</v>
      </c>
      <c r="J97" s="407" t="s">
        <v>413</v>
      </c>
      <c r="K97" s="892" t="s">
        <v>2</v>
      </c>
    </row>
    <row r="98" spans="1:11" s="136" customFormat="1" ht="18.75" customHeight="1">
      <c r="A98" s="884">
        <v>94</v>
      </c>
      <c r="B98" s="756" t="s">
        <v>265</v>
      </c>
      <c r="C98" s="886" t="s">
        <v>178</v>
      </c>
      <c r="G98" s="912"/>
      <c r="H98" s="1698"/>
      <c r="I98" s="891">
        <f>SUBTOTAL(103,$J$5:J98)</f>
        <v>94</v>
      </c>
      <c r="J98" s="407" t="s">
        <v>414</v>
      </c>
      <c r="K98" s="892" t="s">
        <v>2</v>
      </c>
    </row>
    <row r="99" spans="1:11" s="136" customFormat="1" ht="18.75" customHeight="1">
      <c r="A99" s="884">
        <v>95</v>
      </c>
      <c r="B99" s="756" t="s">
        <v>266</v>
      </c>
      <c r="C99" s="886" t="s">
        <v>211</v>
      </c>
      <c r="G99" s="912"/>
      <c r="H99" s="1698"/>
      <c r="I99" s="891">
        <f>SUBTOTAL(103,$J$5:J99)</f>
        <v>95</v>
      </c>
      <c r="J99" s="407" t="s">
        <v>265</v>
      </c>
      <c r="K99" s="892" t="s">
        <v>178</v>
      </c>
    </row>
    <row r="100" spans="1:11" s="136" customFormat="1" ht="18.75" customHeight="1">
      <c r="A100" s="884">
        <v>96</v>
      </c>
      <c r="B100" s="756" t="s">
        <v>267</v>
      </c>
      <c r="C100" s="886" t="s">
        <v>209</v>
      </c>
      <c r="G100" s="912"/>
      <c r="H100" s="1698"/>
      <c r="I100" s="891">
        <f>SUBTOTAL(103,$J$5:J100)</f>
        <v>96</v>
      </c>
      <c r="J100" s="407" t="s">
        <v>266</v>
      </c>
      <c r="K100" s="892" t="s">
        <v>211</v>
      </c>
    </row>
    <row r="101" spans="1:11" s="136" customFormat="1" ht="18.75" customHeight="1">
      <c r="A101" s="884">
        <v>97</v>
      </c>
      <c r="B101" s="756" t="s">
        <v>485</v>
      </c>
      <c r="C101" s="886" t="s">
        <v>211</v>
      </c>
      <c r="G101" s="912"/>
      <c r="H101" s="1698"/>
      <c r="I101" s="891">
        <f>SUBTOTAL(103,$J$5:J101)</f>
        <v>97</v>
      </c>
      <c r="J101" s="407" t="s">
        <v>267</v>
      </c>
      <c r="K101" s="892" t="s">
        <v>209</v>
      </c>
    </row>
    <row r="102" spans="1:11" s="136" customFormat="1" ht="18.75" customHeight="1">
      <c r="A102" s="884">
        <v>98</v>
      </c>
      <c r="B102" s="756" t="s">
        <v>11</v>
      </c>
      <c r="C102" s="886" t="s">
        <v>186</v>
      </c>
      <c r="G102" s="912"/>
      <c r="H102" s="1698"/>
      <c r="I102" s="891">
        <f>SUBTOTAL(103,$J$5:J102)</f>
        <v>98</v>
      </c>
      <c r="J102" s="407" t="s">
        <v>485</v>
      </c>
      <c r="K102" s="892" t="s">
        <v>211</v>
      </c>
    </row>
    <row r="103" spans="1:11" s="136" customFormat="1" ht="18.75" customHeight="1">
      <c r="A103" s="884">
        <v>99</v>
      </c>
      <c r="B103" s="756" t="s">
        <v>167</v>
      </c>
      <c r="C103" s="886" t="s">
        <v>218</v>
      </c>
      <c r="G103" s="912"/>
      <c r="H103" s="1698"/>
      <c r="I103" s="891">
        <f>SUBTOTAL(103,$J$5:J103)</f>
        <v>99</v>
      </c>
      <c r="J103" s="407" t="s">
        <v>11</v>
      </c>
      <c r="K103" s="892" t="s">
        <v>186</v>
      </c>
    </row>
    <row r="104" spans="1:11" s="136" customFormat="1" ht="18.75" customHeight="1">
      <c r="A104" s="884">
        <v>100</v>
      </c>
      <c r="B104" s="756" t="s">
        <v>308</v>
      </c>
      <c r="C104" s="886" t="s">
        <v>79</v>
      </c>
      <c r="G104" s="912"/>
      <c r="H104" s="1698"/>
      <c r="I104" s="891">
        <f>SUBTOTAL(103,$J$5:J104)</f>
        <v>100</v>
      </c>
      <c r="J104" s="407" t="s">
        <v>167</v>
      </c>
      <c r="K104" s="892" t="s">
        <v>218</v>
      </c>
    </row>
    <row r="105" spans="1:11" s="136" customFormat="1" ht="18.75" customHeight="1">
      <c r="A105" s="884">
        <v>101</v>
      </c>
      <c r="B105" s="756" t="s">
        <v>415</v>
      </c>
      <c r="C105" s="886" t="s">
        <v>2</v>
      </c>
      <c r="G105" s="912"/>
      <c r="H105" s="1698"/>
      <c r="I105" s="891">
        <f>SUBTOTAL(103,$J$5:J105)</f>
        <v>101</v>
      </c>
      <c r="J105" s="407" t="s">
        <v>308</v>
      </c>
      <c r="K105" s="892" t="s">
        <v>79</v>
      </c>
    </row>
    <row r="106" spans="1:11" s="136" customFormat="1" ht="18.75" customHeight="1">
      <c r="A106" s="884">
        <v>102</v>
      </c>
      <c r="B106" s="756" t="s">
        <v>416</v>
      </c>
      <c r="C106" s="886" t="s">
        <v>2</v>
      </c>
      <c r="G106" s="912"/>
      <c r="H106" s="1698"/>
      <c r="I106" s="891">
        <f>SUBTOTAL(103,$J$5:J106)</f>
        <v>102</v>
      </c>
      <c r="J106" s="407" t="s">
        <v>415</v>
      </c>
      <c r="K106" s="892" t="s">
        <v>2</v>
      </c>
    </row>
    <row r="107" spans="1:11" s="136" customFormat="1" ht="18.75" customHeight="1">
      <c r="A107" s="884">
        <v>103</v>
      </c>
      <c r="B107" s="756" t="s">
        <v>417</v>
      </c>
      <c r="C107" s="886" t="s">
        <v>79</v>
      </c>
      <c r="G107" s="912"/>
      <c r="H107" s="1698"/>
      <c r="I107" s="891">
        <f>SUBTOTAL(103,$J$5:J107)</f>
        <v>103</v>
      </c>
      <c r="J107" s="407" t="s">
        <v>416</v>
      </c>
      <c r="K107" s="892" t="s">
        <v>2</v>
      </c>
    </row>
    <row r="108" spans="1:11" s="136" customFormat="1" ht="18.75" customHeight="1">
      <c r="A108" s="884">
        <v>104</v>
      </c>
      <c r="B108" s="756" t="s">
        <v>418</v>
      </c>
      <c r="C108" s="886" t="s">
        <v>2</v>
      </c>
      <c r="G108" s="912"/>
      <c r="H108" s="1698"/>
      <c r="I108" s="891">
        <f>SUBTOTAL(103,$J$5:J108)</f>
        <v>104</v>
      </c>
      <c r="J108" s="407" t="s">
        <v>417</v>
      </c>
      <c r="K108" s="892" t="s">
        <v>79</v>
      </c>
    </row>
    <row r="109" spans="1:11" s="136" customFormat="1" ht="18.75" customHeight="1">
      <c r="A109" s="884">
        <v>105</v>
      </c>
      <c r="B109" s="756" t="s">
        <v>419</v>
      </c>
      <c r="C109" s="886" t="s">
        <v>49</v>
      </c>
      <c r="G109" s="912"/>
      <c r="H109" s="1698"/>
      <c r="I109" s="891">
        <f>SUBTOTAL(103,$J$5:J109)</f>
        <v>105</v>
      </c>
      <c r="J109" s="407" t="s">
        <v>418</v>
      </c>
      <c r="K109" s="892" t="s">
        <v>2</v>
      </c>
    </row>
    <row r="110" spans="1:11" s="136" customFormat="1" ht="18.75" customHeight="1">
      <c r="A110" s="884">
        <v>106</v>
      </c>
      <c r="B110" s="756" t="s">
        <v>420</v>
      </c>
      <c r="C110" s="886" t="s">
        <v>3</v>
      </c>
      <c r="G110" s="912"/>
      <c r="H110" s="1698"/>
      <c r="I110" s="891">
        <f>SUBTOTAL(103,$J$5:J110)</f>
        <v>106</v>
      </c>
      <c r="J110" s="407" t="s">
        <v>419</v>
      </c>
      <c r="K110" s="892" t="s">
        <v>49</v>
      </c>
    </row>
    <row r="111" spans="1:11" s="136" customFormat="1" ht="18.75" customHeight="1">
      <c r="A111" s="884">
        <v>107</v>
      </c>
      <c r="B111" s="756" t="s">
        <v>421</v>
      </c>
      <c r="C111" s="886" t="s">
        <v>170</v>
      </c>
      <c r="G111" s="912"/>
      <c r="H111" s="1698"/>
      <c r="I111" s="891">
        <f>SUBTOTAL(103,$J$5:J111)</f>
        <v>107</v>
      </c>
      <c r="J111" s="407" t="s">
        <v>420</v>
      </c>
      <c r="K111" s="892" t="s">
        <v>3</v>
      </c>
    </row>
    <row r="112" spans="1:11" s="136" customFormat="1" ht="18.75" customHeight="1">
      <c r="A112" s="884">
        <v>108</v>
      </c>
      <c r="B112" s="756" t="s">
        <v>422</v>
      </c>
      <c r="C112" s="886" t="s">
        <v>3</v>
      </c>
      <c r="G112" s="912"/>
      <c r="H112" s="1698"/>
      <c r="I112" s="891">
        <f>SUBTOTAL(103,$J$5:J112)</f>
        <v>108</v>
      </c>
      <c r="J112" s="407" t="s">
        <v>421</v>
      </c>
      <c r="K112" s="892" t="s">
        <v>170</v>
      </c>
    </row>
    <row r="113" spans="1:11" s="136" customFormat="1" ht="18.75" customHeight="1">
      <c r="A113" s="884">
        <v>109</v>
      </c>
      <c r="B113" s="756" t="s">
        <v>423</v>
      </c>
      <c r="C113" s="886" t="s">
        <v>154</v>
      </c>
      <c r="G113" s="912"/>
      <c r="H113" s="1698"/>
      <c r="I113" s="891">
        <f>SUBTOTAL(103,$J$5:J113)</f>
        <v>109</v>
      </c>
      <c r="J113" s="407" t="s">
        <v>422</v>
      </c>
      <c r="K113" s="892" t="s">
        <v>3</v>
      </c>
    </row>
    <row r="114" spans="1:11" s="136" customFormat="1" ht="18.75" customHeight="1">
      <c r="A114" s="884">
        <v>110</v>
      </c>
      <c r="B114" s="756" t="s">
        <v>424</v>
      </c>
      <c r="C114" s="886" t="s">
        <v>3</v>
      </c>
      <c r="G114" s="912"/>
      <c r="H114" s="1698"/>
      <c r="I114" s="891">
        <f>SUBTOTAL(103,$J$5:J114)</f>
        <v>110</v>
      </c>
      <c r="J114" s="407" t="s">
        <v>423</v>
      </c>
      <c r="K114" s="892" t="s">
        <v>154</v>
      </c>
    </row>
    <row r="115" spans="1:11" s="136" customFormat="1" ht="18.75" customHeight="1">
      <c r="A115" s="884">
        <v>111</v>
      </c>
      <c r="B115" s="756" t="s">
        <v>425</v>
      </c>
      <c r="C115" s="886" t="s">
        <v>79</v>
      </c>
      <c r="G115" s="912"/>
      <c r="H115" s="1698"/>
      <c r="I115" s="891">
        <f>SUBTOTAL(103,$J$5:J115)</f>
        <v>111</v>
      </c>
      <c r="J115" s="407" t="s">
        <v>424</v>
      </c>
      <c r="K115" s="892" t="s">
        <v>3</v>
      </c>
    </row>
    <row r="116" spans="1:11" s="136" customFormat="1" ht="18.75" customHeight="1">
      <c r="A116" s="884">
        <v>112</v>
      </c>
      <c r="B116" s="756" t="s">
        <v>12</v>
      </c>
      <c r="C116" s="886" t="s">
        <v>173</v>
      </c>
      <c r="G116" s="912"/>
      <c r="H116" s="1698"/>
      <c r="I116" s="891">
        <f>SUBTOTAL(103,$J$5:J116)</f>
        <v>112</v>
      </c>
      <c r="J116" s="407" t="s">
        <v>425</v>
      </c>
      <c r="K116" s="892" t="s">
        <v>79</v>
      </c>
    </row>
    <row r="117" spans="1:11" s="136" customFormat="1" ht="18.75" customHeight="1">
      <c r="A117" s="884">
        <v>113</v>
      </c>
      <c r="B117" s="756" t="s">
        <v>13</v>
      </c>
      <c r="C117" s="886" t="s">
        <v>217</v>
      </c>
      <c r="G117" s="912"/>
      <c r="H117" s="1698"/>
      <c r="I117" s="891">
        <f>SUBTOTAL(103,$J$5:J117)</f>
        <v>113</v>
      </c>
      <c r="J117" s="407" t="s">
        <v>12</v>
      </c>
      <c r="K117" s="892" t="s">
        <v>173</v>
      </c>
    </row>
    <row r="118" spans="1:11" s="136" customFormat="1" ht="18.75" customHeight="1">
      <c r="A118" s="884">
        <v>114</v>
      </c>
      <c r="B118" s="756" t="s">
        <v>51</v>
      </c>
      <c r="C118" s="886" t="s">
        <v>229</v>
      </c>
      <c r="G118" s="912"/>
      <c r="H118" s="1698"/>
      <c r="I118" s="891">
        <f>SUBTOTAL(103,$J$5:J118)</f>
        <v>114</v>
      </c>
      <c r="J118" s="407" t="s">
        <v>13</v>
      </c>
      <c r="K118" s="892" t="s">
        <v>217</v>
      </c>
    </row>
    <row r="119" spans="1:11" s="136" customFormat="1" ht="18.75" customHeight="1">
      <c r="A119" s="884">
        <v>115</v>
      </c>
      <c r="B119" s="756" t="s">
        <v>192</v>
      </c>
      <c r="C119" s="886" t="s">
        <v>2</v>
      </c>
      <c r="G119" s="912"/>
      <c r="H119" s="1698"/>
      <c r="I119" s="891">
        <f>SUBTOTAL(103,$J$5:J119)</f>
        <v>115</v>
      </c>
      <c r="J119" s="407" t="s">
        <v>51</v>
      </c>
      <c r="K119" s="892" t="s">
        <v>229</v>
      </c>
    </row>
    <row r="120" spans="1:11" s="136" customFormat="1" ht="18.75" customHeight="1">
      <c r="A120" s="884">
        <v>116</v>
      </c>
      <c r="B120" s="756" t="s">
        <v>193</v>
      </c>
      <c r="C120" s="886" t="s">
        <v>170</v>
      </c>
      <c r="G120" s="912"/>
      <c r="H120" s="1698"/>
      <c r="I120" s="891">
        <f>SUBTOTAL(103,$J$5:J120)</f>
        <v>116</v>
      </c>
      <c r="J120" s="407" t="s">
        <v>192</v>
      </c>
      <c r="K120" s="892" t="s">
        <v>2</v>
      </c>
    </row>
    <row r="121" spans="1:11" s="136" customFormat="1" ht="18.75" customHeight="1">
      <c r="A121" s="884">
        <v>117</v>
      </c>
      <c r="B121" s="756" t="s">
        <v>254</v>
      </c>
      <c r="C121" s="886" t="s">
        <v>79</v>
      </c>
      <c r="G121" s="912"/>
      <c r="H121" s="1698"/>
      <c r="I121" s="891">
        <f>SUBTOTAL(103,$J$5:J121)</f>
        <v>117</v>
      </c>
      <c r="J121" s="407" t="s">
        <v>193</v>
      </c>
      <c r="K121" s="892" t="s">
        <v>170</v>
      </c>
    </row>
    <row r="122" spans="1:11" s="136" customFormat="1" ht="18.75" customHeight="1">
      <c r="A122" s="884">
        <v>118</v>
      </c>
      <c r="B122" s="756" t="s">
        <v>253</v>
      </c>
      <c r="C122" s="886" t="s">
        <v>4</v>
      </c>
      <c r="G122" s="912"/>
      <c r="H122" s="1698"/>
      <c r="I122" s="891">
        <f>SUBTOTAL(103,$J$5:J122)</f>
        <v>118</v>
      </c>
      <c r="J122" s="407" t="s">
        <v>254</v>
      </c>
      <c r="K122" s="892" t="s">
        <v>79</v>
      </c>
    </row>
    <row r="123" spans="1:11" s="136" customFormat="1" ht="18.75" customHeight="1">
      <c r="A123" s="884">
        <v>119</v>
      </c>
      <c r="B123" s="756" t="s">
        <v>252</v>
      </c>
      <c r="C123" s="886" t="s">
        <v>3</v>
      </c>
      <c r="G123" s="912"/>
      <c r="H123" s="1698"/>
      <c r="I123" s="891">
        <f>SUBTOTAL(103,$J$5:J123)</f>
        <v>119</v>
      </c>
      <c r="J123" s="407" t="s">
        <v>253</v>
      </c>
      <c r="K123" s="892" t="s">
        <v>4</v>
      </c>
    </row>
    <row r="124" spans="1:11" s="136" customFormat="1" ht="18.75" customHeight="1">
      <c r="A124" s="884">
        <v>120</v>
      </c>
      <c r="B124" s="756" t="s">
        <v>251</v>
      </c>
      <c r="C124" s="886" t="s">
        <v>49</v>
      </c>
      <c r="G124" s="912"/>
      <c r="H124" s="1698"/>
      <c r="I124" s="891">
        <f>SUBTOTAL(103,$J$5:J124)</f>
        <v>120</v>
      </c>
      <c r="J124" s="407" t="s">
        <v>252</v>
      </c>
      <c r="K124" s="892" t="s">
        <v>3</v>
      </c>
    </row>
    <row r="125" spans="1:11" s="136" customFormat="1" ht="18.75" customHeight="1">
      <c r="A125" s="884">
        <v>121</v>
      </c>
      <c r="B125" s="756" t="s">
        <v>426</v>
      </c>
      <c r="C125" s="886" t="s">
        <v>170</v>
      </c>
      <c r="G125" s="912"/>
      <c r="H125" s="1698"/>
      <c r="I125" s="891">
        <f>SUBTOTAL(103,$J$5:J125)</f>
        <v>121</v>
      </c>
      <c r="J125" s="407" t="s">
        <v>251</v>
      </c>
      <c r="K125" s="892" t="s">
        <v>49</v>
      </c>
    </row>
    <row r="126" spans="1:11" s="136" customFormat="1" ht="18.75" customHeight="1">
      <c r="A126" s="884">
        <v>122</v>
      </c>
      <c r="B126" s="756" t="s">
        <v>52</v>
      </c>
      <c r="C126" s="886" t="s">
        <v>213</v>
      </c>
      <c r="G126" s="912"/>
      <c r="H126" s="1698"/>
      <c r="I126" s="891">
        <f>SUBTOTAL(103,$J$5:J126)</f>
        <v>122</v>
      </c>
      <c r="J126" s="407" t="s">
        <v>426</v>
      </c>
      <c r="K126" s="892" t="s">
        <v>170</v>
      </c>
    </row>
    <row r="127" spans="1:11" s="136" customFormat="1" ht="18.75" customHeight="1">
      <c r="A127" s="884">
        <v>123</v>
      </c>
      <c r="B127" s="756" t="s">
        <v>53</v>
      </c>
      <c r="C127" s="886" t="s">
        <v>213</v>
      </c>
      <c r="G127" s="912"/>
      <c r="H127" s="1698"/>
      <c r="I127" s="891">
        <f>SUBTOTAL(103,$J$5:J127)</f>
        <v>123</v>
      </c>
      <c r="J127" s="407" t="s">
        <v>52</v>
      </c>
      <c r="K127" s="892" t="s">
        <v>213</v>
      </c>
    </row>
    <row r="128" spans="1:11" s="136" customFormat="1" ht="18.75" customHeight="1">
      <c r="A128" s="884">
        <v>124</v>
      </c>
      <c r="B128" s="756" t="s">
        <v>174</v>
      </c>
      <c r="C128" s="886" t="s">
        <v>4</v>
      </c>
      <c r="G128" s="912"/>
      <c r="H128" s="1698"/>
      <c r="I128" s="891">
        <f>SUBTOTAL(103,$J$5:J128)</f>
        <v>124</v>
      </c>
      <c r="J128" s="407" t="s">
        <v>53</v>
      </c>
      <c r="K128" s="892" t="s">
        <v>213</v>
      </c>
    </row>
    <row r="129" spans="1:11" s="136" customFormat="1" ht="18.75" customHeight="1">
      <c r="A129" s="884">
        <v>125</v>
      </c>
      <c r="B129" s="756" t="s">
        <v>175</v>
      </c>
      <c r="C129" s="886" t="s">
        <v>4</v>
      </c>
      <c r="G129" s="912"/>
      <c r="H129" s="1698"/>
      <c r="I129" s="891">
        <f>SUBTOTAL(103,$J$5:J129)</f>
        <v>125</v>
      </c>
      <c r="J129" s="407" t="s">
        <v>174</v>
      </c>
      <c r="K129" s="892" t="s">
        <v>4</v>
      </c>
    </row>
    <row r="130" spans="1:11" s="136" customFormat="1" ht="18.75" customHeight="1">
      <c r="A130" s="884">
        <v>126</v>
      </c>
      <c r="B130" s="756" t="s">
        <v>176</v>
      </c>
      <c r="C130" s="886" t="s">
        <v>170</v>
      </c>
      <c r="G130" s="912"/>
      <c r="H130" s="1698"/>
      <c r="I130" s="891">
        <f>SUBTOTAL(103,$J$5:J130)</f>
        <v>126</v>
      </c>
      <c r="J130" s="407" t="s">
        <v>175</v>
      </c>
      <c r="K130" s="892" t="s">
        <v>4</v>
      </c>
    </row>
    <row r="131" spans="1:11" s="136" customFormat="1" ht="18.75" customHeight="1">
      <c r="A131" s="884">
        <v>127</v>
      </c>
      <c r="B131" s="756" t="s">
        <v>177</v>
      </c>
      <c r="C131" s="886" t="s">
        <v>2</v>
      </c>
      <c r="G131" s="912"/>
      <c r="H131" s="1698"/>
      <c r="I131" s="891">
        <f>SUBTOTAL(103,$J$5:J131)</f>
        <v>127</v>
      </c>
      <c r="J131" s="407" t="s">
        <v>176</v>
      </c>
      <c r="K131" s="892" t="s">
        <v>170</v>
      </c>
    </row>
    <row r="132" spans="1:11" s="136" customFormat="1" ht="18.75" customHeight="1">
      <c r="A132" s="884">
        <v>128</v>
      </c>
      <c r="B132" s="756" t="s">
        <v>427</v>
      </c>
      <c r="C132" s="886" t="s">
        <v>3</v>
      </c>
      <c r="G132" s="912"/>
      <c r="H132" s="1698"/>
      <c r="I132" s="891">
        <f>SUBTOTAL(103,$J$5:J132)</f>
        <v>128</v>
      </c>
      <c r="J132" s="407" t="s">
        <v>177</v>
      </c>
      <c r="K132" s="892" t="s">
        <v>2</v>
      </c>
    </row>
    <row r="133" spans="1:11" s="136" customFormat="1" ht="18.75" customHeight="1">
      <c r="A133" s="884">
        <v>129</v>
      </c>
      <c r="B133" s="756" t="s">
        <v>428</v>
      </c>
      <c r="C133" s="886" t="s">
        <v>4</v>
      </c>
      <c r="G133" s="912"/>
      <c r="H133" s="1698"/>
      <c r="I133" s="891">
        <f>SUBTOTAL(103,$J$5:J133)</f>
        <v>129</v>
      </c>
      <c r="J133" s="407" t="s">
        <v>427</v>
      </c>
      <c r="K133" s="892" t="s">
        <v>3</v>
      </c>
    </row>
    <row r="134" spans="1:11" s="136" customFormat="1" ht="18.75" customHeight="1">
      <c r="A134" s="884">
        <v>130</v>
      </c>
      <c r="B134" s="756" t="s">
        <v>54</v>
      </c>
      <c r="C134" s="886" t="s">
        <v>197</v>
      </c>
      <c r="G134" s="912"/>
      <c r="H134" s="1698"/>
      <c r="I134" s="891">
        <f>SUBTOTAL(103,$J$5:J134)</f>
        <v>130</v>
      </c>
      <c r="J134" s="407" t="s">
        <v>428</v>
      </c>
      <c r="K134" s="892" t="s">
        <v>4</v>
      </c>
    </row>
    <row r="135" spans="1:11" s="136" customFormat="1" ht="18.75" customHeight="1">
      <c r="A135" s="884">
        <v>131</v>
      </c>
      <c r="B135" s="756" t="s">
        <v>179</v>
      </c>
      <c r="C135" s="886" t="s">
        <v>3</v>
      </c>
      <c r="G135" s="912"/>
      <c r="H135" s="1698"/>
      <c r="I135" s="891">
        <f>SUBTOTAL(103,$J$5:J135)</f>
        <v>131</v>
      </c>
      <c r="J135" s="407" t="s">
        <v>54</v>
      </c>
      <c r="K135" s="892" t="s">
        <v>197</v>
      </c>
    </row>
    <row r="136" spans="1:11" s="136" customFormat="1" ht="18.75" customHeight="1">
      <c r="A136" s="884">
        <v>132</v>
      </c>
      <c r="B136" s="756" t="s">
        <v>180</v>
      </c>
      <c r="C136" s="886" t="s">
        <v>79</v>
      </c>
      <c r="G136" s="912"/>
      <c r="H136" s="1698"/>
      <c r="I136" s="891">
        <f>SUBTOTAL(103,$J$5:J136)</f>
        <v>132</v>
      </c>
      <c r="J136" s="407" t="s">
        <v>179</v>
      </c>
      <c r="K136" s="892" t="s">
        <v>3</v>
      </c>
    </row>
    <row r="137" spans="1:11" s="136" customFormat="1" ht="18.75" customHeight="1">
      <c r="A137" s="884">
        <v>133</v>
      </c>
      <c r="B137" s="756" t="s">
        <v>181</v>
      </c>
      <c r="C137" s="886" t="s">
        <v>79</v>
      </c>
      <c r="G137" s="912"/>
      <c r="H137" s="1698"/>
      <c r="I137" s="891">
        <f>SUBTOTAL(103,$J$5:J137)</f>
        <v>133</v>
      </c>
      <c r="J137" s="407" t="s">
        <v>180</v>
      </c>
      <c r="K137" s="892" t="s">
        <v>79</v>
      </c>
    </row>
    <row r="138" spans="1:11" s="136" customFormat="1" ht="18.75" customHeight="1">
      <c r="A138" s="884">
        <v>134</v>
      </c>
      <c r="B138" s="756" t="s">
        <v>182</v>
      </c>
      <c r="C138" s="886" t="s">
        <v>3</v>
      </c>
      <c r="G138" s="912"/>
      <c r="H138" s="1698"/>
      <c r="I138" s="891">
        <f>SUBTOTAL(103,$J$5:J138)</f>
        <v>134</v>
      </c>
      <c r="J138" s="407" t="s">
        <v>181</v>
      </c>
      <c r="K138" s="892" t="s">
        <v>79</v>
      </c>
    </row>
    <row r="139" spans="1:11" s="136" customFormat="1" ht="18.75" customHeight="1">
      <c r="A139" s="884">
        <v>135</v>
      </c>
      <c r="B139" s="756" t="s">
        <v>429</v>
      </c>
      <c r="C139" s="886" t="s">
        <v>3</v>
      </c>
      <c r="G139" s="912"/>
      <c r="H139" s="1698"/>
      <c r="I139" s="891">
        <f>SUBTOTAL(103,$J$5:J139)</f>
        <v>135</v>
      </c>
      <c r="J139" s="407" t="s">
        <v>182</v>
      </c>
      <c r="K139" s="892" t="s">
        <v>3</v>
      </c>
    </row>
    <row r="140" spans="1:11" s="136" customFormat="1" ht="18.75" customHeight="1">
      <c r="A140" s="884">
        <v>136</v>
      </c>
      <c r="B140" s="756" t="s">
        <v>55</v>
      </c>
      <c r="C140" s="886" t="s">
        <v>430</v>
      </c>
      <c r="G140" s="912"/>
      <c r="H140" s="1698"/>
      <c r="I140" s="891">
        <f>SUBTOTAL(103,$J$5:J140)</f>
        <v>136</v>
      </c>
      <c r="J140" s="407" t="s">
        <v>429</v>
      </c>
      <c r="K140" s="892" t="s">
        <v>3</v>
      </c>
    </row>
    <row r="141" spans="1:11" s="136" customFormat="1" ht="18.75" customHeight="1">
      <c r="A141" s="884">
        <v>137</v>
      </c>
      <c r="B141" s="756" t="s">
        <v>56</v>
      </c>
      <c r="C141" s="886" t="s">
        <v>215</v>
      </c>
      <c r="G141" s="912"/>
      <c r="H141" s="1698"/>
      <c r="I141" s="891">
        <f>SUBTOTAL(103,$J$5:J141)</f>
        <v>137</v>
      </c>
      <c r="J141" s="407" t="s">
        <v>55</v>
      </c>
      <c r="K141" s="892" t="s">
        <v>430</v>
      </c>
    </row>
    <row r="142" spans="1:11" s="136" customFormat="1" ht="18.75" customHeight="1">
      <c r="A142" s="884">
        <v>138</v>
      </c>
      <c r="B142" s="756" t="s">
        <v>676</v>
      </c>
      <c r="C142" s="886" t="s">
        <v>211</v>
      </c>
      <c r="G142" s="912"/>
      <c r="H142" s="1698"/>
      <c r="I142" s="891">
        <f>SUBTOTAL(103,$J$5:J142)</f>
        <v>138</v>
      </c>
      <c r="J142" s="407" t="s">
        <v>56</v>
      </c>
      <c r="K142" s="892" t="s">
        <v>215</v>
      </c>
    </row>
    <row r="143" spans="1:11" s="136" customFormat="1" ht="18.75" customHeight="1">
      <c r="A143" s="884">
        <v>139</v>
      </c>
      <c r="B143" s="756" t="s">
        <v>57</v>
      </c>
      <c r="C143" s="886" t="s">
        <v>186</v>
      </c>
      <c r="G143" s="912"/>
      <c r="H143" s="1698"/>
      <c r="I143" s="891">
        <f>SUBTOTAL(103,$J$5:J143)</f>
        <v>139</v>
      </c>
      <c r="J143" s="407" t="s">
        <v>676</v>
      </c>
      <c r="K143" s="892" t="s">
        <v>211</v>
      </c>
    </row>
    <row r="144" spans="1:11" s="136" customFormat="1" ht="18.75" customHeight="1">
      <c r="A144" s="884">
        <v>140</v>
      </c>
      <c r="B144" s="756" t="s">
        <v>58</v>
      </c>
      <c r="C144" s="886" t="s">
        <v>186</v>
      </c>
      <c r="G144" s="912"/>
      <c r="H144" s="1698"/>
      <c r="I144" s="891">
        <f>SUBTOTAL(103,$J$5:J144)</f>
        <v>140</v>
      </c>
      <c r="J144" s="407" t="s">
        <v>57</v>
      </c>
      <c r="K144" s="892" t="s">
        <v>186</v>
      </c>
    </row>
    <row r="145" spans="1:11" s="136" customFormat="1" ht="18.75" customHeight="1">
      <c r="A145" s="884">
        <v>141</v>
      </c>
      <c r="B145" s="756" t="s">
        <v>59</v>
      </c>
      <c r="C145" s="886" t="s">
        <v>431</v>
      </c>
      <c r="G145" s="912"/>
      <c r="H145" s="1698"/>
      <c r="I145" s="891">
        <f>SUBTOTAL(103,$J$5:J145)</f>
        <v>141</v>
      </c>
      <c r="J145" s="407" t="s">
        <v>58</v>
      </c>
      <c r="K145" s="892" t="s">
        <v>186</v>
      </c>
    </row>
    <row r="146" spans="1:11" s="136" customFormat="1" ht="18.75" customHeight="1">
      <c r="A146" s="884">
        <v>142</v>
      </c>
      <c r="B146" s="756" t="s">
        <v>60</v>
      </c>
      <c r="C146" s="886" t="s">
        <v>431</v>
      </c>
      <c r="G146" s="912"/>
      <c r="H146" s="1698"/>
      <c r="I146" s="891">
        <f>SUBTOTAL(103,$J$5:J146)</f>
        <v>142</v>
      </c>
      <c r="J146" s="407" t="s">
        <v>59</v>
      </c>
      <c r="K146" s="892" t="s">
        <v>431</v>
      </c>
    </row>
    <row r="147" spans="1:11" s="136" customFormat="1" ht="18.75" customHeight="1">
      <c r="A147" s="884">
        <v>143</v>
      </c>
      <c r="B147" s="756" t="s">
        <v>61</v>
      </c>
      <c r="C147" s="886" t="s">
        <v>49</v>
      </c>
      <c r="G147" s="912"/>
      <c r="H147" s="1698"/>
      <c r="I147" s="891">
        <f>SUBTOTAL(103,$J$5:J147)</f>
        <v>143</v>
      </c>
      <c r="J147" s="407" t="s">
        <v>60</v>
      </c>
      <c r="K147" s="892" t="s">
        <v>431</v>
      </c>
    </row>
    <row r="148" spans="1:11" s="136" customFormat="1" ht="18.75" customHeight="1">
      <c r="A148" s="884">
        <v>144</v>
      </c>
      <c r="B148" s="756" t="s">
        <v>62</v>
      </c>
      <c r="C148" s="886" t="s">
        <v>154</v>
      </c>
      <c r="G148" s="912"/>
      <c r="H148" s="1698"/>
      <c r="I148" s="891">
        <f>SUBTOTAL(103,$J$5:J148)</f>
        <v>144</v>
      </c>
      <c r="J148" s="407" t="s">
        <v>61</v>
      </c>
      <c r="K148" s="892" t="s">
        <v>49</v>
      </c>
    </row>
    <row r="149" spans="1:11" s="136" customFormat="1" ht="18.75" customHeight="1">
      <c r="A149" s="884">
        <v>145</v>
      </c>
      <c r="B149" s="756" t="s">
        <v>153</v>
      </c>
      <c r="C149" s="886" t="s">
        <v>170</v>
      </c>
      <c r="G149" s="912"/>
      <c r="H149" s="1698"/>
      <c r="I149" s="891">
        <f>SUBTOTAL(103,$J$5:J149)</f>
        <v>145</v>
      </c>
      <c r="J149" s="407" t="s">
        <v>62</v>
      </c>
      <c r="K149" s="892" t="s">
        <v>154</v>
      </c>
    </row>
    <row r="150" spans="1:11" s="136" customFormat="1" ht="18.75" customHeight="1">
      <c r="A150" s="884">
        <v>146</v>
      </c>
      <c r="B150" s="756" t="s">
        <v>155</v>
      </c>
      <c r="C150" s="886" t="s">
        <v>170</v>
      </c>
      <c r="G150" s="912"/>
      <c r="H150" s="1698"/>
      <c r="I150" s="891">
        <f>SUBTOTAL(103,$J$5:J150)</f>
        <v>146</v>
      </c>
      <c r="J150" s="407" t="s">
        <v>153</v>
      </c>
      <c r="K150" s="892" t="s">
        <v>170</v>
      </c>
    </row>
    <row r="151" spans="1:11" s="136" customFormat="1" ht="18.75" customHeight="1">
      <c r="A151" s="884">
        <v>147</v>
      </c>
      <c r="B151" s="756" t="s">
        <v>156</v>
      </c>
      <c r="C151" s="886" t="s">
        <v>154</v>
      </c>
      <c r="G151" s="912"/>
      <c r="H151" s="1698"/>
      <c r="I151" s="891">
        <f>SUBTOTAL(103,$J$5:J151)</f>
        <v>147</v>
      </c>
      <c r="J151" s="407" t="s">
        <v>155</v>
      </c>
      <c r="K151" s="892" t="s">
        <v>170</v>
      </c>
    </row>
    <row r="152" spans="1:11" s="136" customFormat="1" ht="18.75" customHeight="1">
      <c r="A152" s="884">
        <v>148</v>
      </c>
      <c r="B152" s="756" t="s">
        <v>162</v>
      </c>
      <c r="C152" s="886" t="s">
        <v>4</v>
      </c>
      <c r="G152" s="912"/>
      <c r="H152" s="1698"/>
      <c r="I152" s="891">
        <f>SUBTOTAL(103,$J$5:J152)</f>
        <v>148</v>
      </c>
      <c r="J152" s="407" t="s">
        <v>156</v>
      </c>
      <c r="K152" s="892" t="s">
        <v>154</v>
      </c>
    </row>
    <row r="153" spans="1:11" s="136" customFormat="1" ht="18.75" customHeight="1">
      <c r="A153" s="884">
        <v>149</v>
      </c>
      <c r="B153" s="756" t="s">
        <v>63</v>
      </c>
      <c r="C153" s="886" t="s">
        <v>250</v>
      </c>
      <c r="G153" s="912"/>
      <c r="H153" s="1698"/>
      <c r="I153" s="891">
        <f>SUBTOTAL(103,$J$5:J153)</f>
        <v>149</v>
      </c>
      <c r="J153" s="407" t="s">
        <v>162</v>
      </c>
      <c r="K153" s="892" t="s">
        <v>4</v>
      </c>
    </row>
    <row r="154" spans="1:11" s="136" customFormat="1" ht="18.75" customHeight="1">
      <c r="A154" s="884">
        <v>150</v>
      </c>
      <c r="B154" s="756" t="s">
        <v>64</v>
      </c>
      <c r="C154" s="886" t="s">
        <v>185</v>
      </c>
      <c r="G154" s="912"/>
      <c r="H154" s="1698"/>
      <c r="I154" s="891">
        <f>SUBTOTAL(103,$J$5:J154)</f>
        <v>150</v>
      </c>
      <c r="J154" s="407" t="s">
        <v>63</v>
      </c>
      <c r="K154" s="892" t="s">
        <v>250</v>
      </c>
    </row>
    <row r="155" spans="1:11" s="136" customFormat="1" ht="18.75" customHeight="1">
      <c r="A155" s="884">
        <v>151</v>
      </c>
      <c r="B155" s="756" t="s">
        <v>432</v>
      </c>
      <c r="C155" s="886" t="s">
        <v>79</v>
      </c>
      <c r="G155" s="912"/>
      <c r="H155" s="1698"/>
      <c r="I155" s="891">
        <f>SUBTOTAL(103,$J$5:J155)</f>
        <v>151</v>
      </c>
      <c r="J155" s="407" t="s">
        <v>64</v>
      </c>
      <c r="K155" s="892" t="s">
        <v>185</v>
      </c>
    </row>
    <row r="156" spans="1:11" s="136" customFormat="1" ht="18.75" customHeight="1">
      <c r="A156" s="884">
        <v>152</v>
      </c>
      <c r="B156" s="756" t="s">
        <v>433</v>
      </c>
      <c r="C156" s="886" t="s">
        <v>3</v>
      </c>
      <c r="G156" s="912"/>
      <c r="H156" s="1698"/>
      <c r="I156" s="891">
        <f>SUBTOTAL(103,$J$5:J156)</f>
        <v>152</v>
      </c>
      <c r="J156" s="407" t="s">
        <v>432</v>
      </c>
      <c r="K156" s="892" t="s">
        <v>79</v>
      </c>
    </row>
    <row r="157" spans="1:11" s="136" customFormat="1" ht="18.75" customHeight="1">
      <c r="A157" s="884">
        <v>153</v>
      </c>
      <c r="B157" s="756" t="s">
        <v>434</v>
      </c>
      <c r="C157" s="886" t="s">
        <v>3</v>
      </c>
      <c r="G157" s="912"/>
      <c r="H157" s="1698"/>
      <c r="I157" s="891">
        <f>SUBTOTAL(103,$J$5:J157)</f>
        <v>153</v>
      </c>
      <c r="J157" s="407" t="s">
        <v>433</v>
      </c>
      <c r="K157" s="892" t="s">
        <v>3</v>
      </c>
    </row>
    <row r="158" spans="1:11" s="136" customFormat="1" ht="18.75" customHeight="1">
      <c r="A158" s="884">
        <v>154</v>
      </c>
      <c r="B158" s="756" t="s">
        <v>435</v>
      </c>
      <c r="C158" s="886" t="s">
        <v>2</v>
      </c>
      <c r="G158" s="912"/>
      <c r="H158" s="1698"/>
      <c r="I158" s="891">
        <f>SUBTOTAL(103,$J$5:J158)</f>
        <v>154</v>
      </c>
      <c r="J158" s="407" t="s">
        <v>434</v>
      </c>
      <c r="K158" s="892" t="s">
        <v>3</v>
      </c>
    </row>
    <row r="159" spans="1:11" s="136" customFormat="1" ht="18.75" customHeight="1">
      <c r="A159" s="884">
        <v>155</v>
      </c>
      <c r="B159" s="756" t="s">
        <v>436</v>
      </c>
      <c r="C159" s="886" t="s">
        <v>3</v>
      </c>
      <c r="G159" s="912"/>
      <c r="H159" s="1698"/>
      <c r="I159" s="891">
        <f>SUBTOTAL(103,$J$5:J159)</f>
        <v>155</v>
      </c>
      <c r="J159" s="407" t="s">
        <v>435</v>
      </c>
      <c r="K159" s="892" t="s">
        <v>2</v>
      </c>
    </row>
    <row r="160" spans="1:11" s="136" customFormat="1" ht="18.75" customHeight="1">
      <c r="A160" s="884">
        <v>156</v>
      </c>
      <c r="B160" s="756" t="s">
        <v>900</v>
      </c>
      <c r="C160" s="886" t="s">
        <v>197</v>
      </c>
      <c r="G160" s="912"/>
      <c r="H160" s="1698"/>
      <c r="I160" s="891">
        <f>SUBTOTAL(103,$J$5:J160)</f>
        <v>156</v>
      </c>
      <c r="J160" s="407" t="s">
        <v>436</v>
      </c>
      <c r="K160" s="892" t="s">
        <v>3</v>
      </c>
    </row>
    <row r="161" spans="1:11" s="136" customFormat="1" ht="18.75" customHeight="1">
      <c r="A161" s="884">
        <v>157</v>
      </c>
      <c r="B161" s="756" t="s">
        <v>901</v>
      </c>
      <c r="C161" s="886" t="s">
        <v>79</v>
      </c>
      <c r="G161" s="912"/>
      <c r="H161" s="1698"/>
      <c r="I161" s="891">
        <f>SUBTOTAL(103,$J$5:J161)</f>
        <v>157</v>
      </c>
      <c r="J161" s="407" t="s">
        <v>900</v>
      </c>
      <c r="K161" s="892" t="s">
        <v>197</v>
      </c>
    </row>
    <row r="162" spans="1:11" s="136" customFormat="1" ht="18.75" customHeight="1">
      <c r="A162" s="884">
        <v>158</v>
      </c>
      <c r="B162" s="756" t="s">
        <v>902</v>
      </c>
      <c r="C162" s="886" t="s">
        <v>79</v>
      </c>
      <c r="G162" s="912"/>
      <c r="H162" s="1698"/>
      <c r="I162" s="891">
        <f>SUBTOTAL(103,$J$5:J162)</f>
        <v>158</v>
      </c>
      <c r="J162" s="407" t="s">
        <v>901</v>
      </c>
      <c r="K162" s="892" t="s">
        <v>79</v>
      </c>
    </row>
    <row r="163" spans="1:11" s="136" customFormat="1" ht="18.75" customHeight="1">
      <c r="A163" s="884">
        <v>159</v>
      </c>
      <c r="B163" s="756" t="s">
        <v>903</v>
      </c>
      <c r="C163" s="886" t="s">
        <v>79</v>
      </c>
      <c r="G163" s="912"/>
      <c r="H163" s="1698"/>
      <c r="I163" s="891">
        <f>SUBTOTAL(103,$J$5:J163)</f>
        <v>159</v>
      </c>
      <c r="J163" s="407" t="s">
        <v>902</v>
      </c>
      <c r="K163" s="892" t="s">
        <v>79</v>
      </c>
    </row>
    <row r="164" spans="1:11" s="136" customFormat="1" ht="18.75" customHeight="1">
      <c r="A164" s="884">
        <v>160</v>
      </c>
      <c r="B164" s="756" t="s">
        <v>904</v>
      </c>
      <c r="C164" s="886" t="s">
        <v>2</v>
      </c>
      <c r="G164" s="912"/>
      <c r="H164" s="1698"/>
      <c r="I164" s="891">
        <f>SUBTOTAL(103,$J$5:J164)</f>
        <v>160</v>
      </c>
      <c r="J164" s="407" t="s">
        <v>903</v>
      </c>
      <c r="K164" s="892" t="s">
        <v>79</v>
      </c>
    </row>
    <row r="165" spans="1:11" s="136" customFormat="1" ht="18.75" customHeight="1">
      <c r="A165" s="884">
        <v>161</v>
      </c>
      <c r="B165" s="877" t="s">
        <v>905</v>
      </c>
      <c r="C165" s="887" t="s">
        <v>79</v>
      </c>
      <c r="G165" s="912"/>
      <c r="H165" s="1698"/>
      <c r="I165" s="891">
        <f>SUBTOTAL(103,$J$5:J165)</f>
        <v>161</v>
      </c>
      <c r="J165" s="407" t="s">
        <v>904</v>
      </c>
      <c r="K165" s="892" t="s">
        <v>2</v>
      </c>
    </row>
    <row r="166" spans="1:11" s="136" customFormat="1" ht="18.75" customHeight="1">
      <c r="A166" s="884">
        <v>162</v>
      </c>
      <c r="B166" s="756" t="s">
        <v>906</v>
      </c>
      <c r="C166" s="886" t="s">
        <v>49</v>
      </c>
      <c r="G166" s="912"/>
      <c r="H166" s="1698"/>
      <c r="I166" s="891">
        <f>SUBTOTAL(103,$J$5:J166)</f>
        <v>162</v>
      </c>
      <c r="J166" s="407" t="s">
        <v>905</v>
      </c>
      <c r="K166" s="892" t="s">
        <v>79</v>
      </c>
    </row>
    <row r="167" spans="1:11" s="136" customFormat="1" ht="18.75" customHeight="1">
      <c r="A167" s="884">
        <v>163</v>
      </c>
      <c r="B167" s="756" t="s">
        <v>65</v>
      </c>
      <c r="C167" s="886" t="s">
        <v>197</v>
      </c>
      <c r="G167" s="912"/>
      <c r="H167" s="1698"/>
      <c r="I167" s="891">
        <f>SUBTOTAL(103,$J$5:J167)</f>
        <v>163</v>
      </c>
      <c r="J167" s="407" t="s">
        <v>906</v>
      </c>
      <c r="K167" s="892" t="s">
        <v>49</v>
      </c>
    </row>
    <row r="168" spans="1:11" s="136" customFormat="1" ht="18.75" customHeight="1">
      <c r="A168" s="884">
        <v>164</v>
      </c>
      <c r="B168" s="756" t="s">
        <v>26</v>
      </c>
      <c r="C168" s="886" t="s">
        <v>3</v>
      </c>
      <c r="G168" s="912"/>
      <c r="H168" s="1698"/>
      <c r="I168" s="891">
        <f>SUBTOTAL(103,$J$5:J168)</f>
        <v>164</v>
      </c>
      <c r="J168" s="407" t="s">
        <v>65</v>
      </c>
      <c r="K168" s="892" t="s">
        <v>197</v>
      </c>
    </row>
    <row r="169" spans="1:11" s="136" customFormat="1" ht="18.75" customHeight="1">
      <c r="A169" s="884">
        <v>165</v>
      </c>
      <c r="B169" s="756" t="s">
        <v>437</v>
      </c>
      <c r="C169" s="886" t="s">
        <v>49</v>
      </c>
      <c r="G169" s="912"/>
      <c r="H169" s="1698"/>
      <c r="I169" s="891">
        <f>SUBTOTAL(103,$J$5:J169)</f>
        <v>165</v>
      </c>
      <c r="J169" s="407" t="s">
        <v>26</v>
      </c>
      <c r="K169" s="892" t="s">
        <v>3</v>
      </c>
    </row>
    <row r="170" spans="1:11" s="136" customFormat="1" ht="18.75" customHeight="1">
      <c r="A170" s="884">
        <v>166</v>
      </c>
      <c r="B170" s="756" t="s">
        <v>438</v>
      </c>
      <c r="C170" s="886" t="s">
        <v>2</v>
      </c>
      <c r="G170" s="912"/>
      <c r="H170" s="1698"/>
      <c r="I170" s="891">
        <f>SUBTOTAL(103,$J$5:J170)</f>
        <v>166</v>
      </c>
      <c r="J170" s="407" t="s">
        <v>437</v>
      </c>
      <c r="K170" s="892" t="s">
        <v>49</v>
      </c>
    </row>
    <row r="171" spans="1:11" s="136" customFormat="1" ht="18.75" customHeight="1">
      <c r="A171" s="884">
        <v>167</v>
      </c>
      <c r="B171" s="756" t="s">
        <v>439</v>
      </c>
      <c r="C171" s="886" t="s">
        <v>49</v>
      </c>
      <c r="G171" s="912"/>
      <c r="H171" s="1698"/>
      <c r="I171" s="891">
        <f>SUBTOTAL(103,$J$5:J171)</f>
        <v>167</v>
      </c>
      <c r="J171" s="407" t="s">
        <v>438</v>
      </c>
      <c r="K171" s="892" t="s">
        <v>2</v>
      </c>
    </row>
    <row r="172" spans="1:11" s="136" customFormat="1" ht="18.75" customHeight="1">
      <c r="A172" s="884">
        <v>168</v>
      </c>
      <c r="B172" s="756" t="s">
        <v>440</v>
      </c>
      <c r="C172" s="886" t="s">
        <v>3</v>
      </c>
      <c r="G172" s="912"/>
      <c r="H172" s="1698"/>
      <c r="I172" s="891">
        <f>SUBTOTAL(103,$J$5:J172)</f>
        <v>168</v>
      </c>
      <c r="J172" s="407" t="s">
        <v>439</v>
      </c>
      <c r="K172" s="892" t="s">
        <v>49</v>
      </c>
    </row>
    <row r="173" spans="1:11" s="136" customFormat="1" ht="18.75" customHeight="1">
      <c r="A173" s="884">
        <v>169</v>
      </c>
      <c r="B173" s="756" t="s">
        <v>441</v>
      </c>
      <c r="C173" s="886" t="s">
        <v>79</v>
      </c>
      <c r="G173" s="912"/>
      <c r="H173" s="1698"/>
      <c r="I173" s="891">
        <f>SUBTOTAL(103,$J$5:J173)</f>
        <v>169</v>
      </c>
      <c r="J173" s="407" t="s">
        <v>440</v>
      </c>
      <c r="K173" s="892" t="s">
        <v>3</v>
      </c>
    </row>
    <row r="174" spans="1:11" s="136" customFormat="1" ht="18.75" customHeight="1">
      <c r="A174" s="884">
        <v>170</v>
      </c>
      <c r="B174" s="756" t="s">
        <v>442</v>
      </c>
      <c r="C174" s="886" t="s">
        <v>4</v>
      </c>
      <c r="G174" s="912"/>
      <c r="H174" s="1698"/>
      <c r="I174" s="891">
        <f>SUBTOTAL(103,$J$5:J174)</f>
        <v>170</v>
      </c>
      <c r="J174" s="407" t="s">
        <v>441</v>
      </c>
      <c r="K174" s="892" t="s">
        <v>79</v>
      </c>
    </row>
    <row r="175" spans="1:11" s="136" customFormat="1" ht="18.75" customHeight="1">
      <c r="A175" s="884">
        <v>171</v>
      </c>
      <c r="B175" s="756" t="s">
        <v>443</v>
      </c>
      <c r="C175" s="886" t="s">
        <v>2</v>
      </c>
      <c r="G175" s="912"/>
      <c r="H175" s="1698"/>
      <c r="I175" s="891">
        <f>SUBTOTAL(103,$J$5:J175)</f>
        <v>171</v>
      </c>
      <c r="J175" s="407" t="s">
        <v>442</v>
      </c>
      <c r="K175" s="892" t="s">
        <v>4</v>
      </c>
    </row>
    <row r="176" spans="1:11" s="136" customFormat="1" ht="18.75" customHeight="1">
      <c r="A176" s="884">
        <v>172</v>
      </c>
      <c r="B176" s="756" t="s">
        <v>444</v>
      </c>
      <c r="C176" s="886" t="s">
        <v>4</v>
      </c>
      <c r="G176" s="912"/>
      <c r="H176" s="1698"/>
      <c r="I176" s="891">
        <f>SUBTOTAL(103,$J$5:J176)</f>
        <v>172</v>
      </c>
      <c r="J176" s="407" t="s">
        <v>443</v>
      </c>
      <c r="K176" s="892" t="s">
        <v>2</v>
      </c>
    </row>
    <row r="177" spans="1:11" s="136" customFormat="1" ht="18.75" customHeight="1">
      <c r="A177" s="884">
        <v>173</v>
      </c>
      <c r="B177" s="756" t="s">
        <v>445</v>
      </c>
      <c r="C177" s="886" t="s">
        <v>2</v>
      </c>
      <c r="G177" s="912"/>
      <c r="H177" s="1698"/>
      <c r="I177" s="891">
        <f>SUBTOTAL(103,$J$5:J177)</f>
        <v>173</v>
      </c>
      <c r="J177" s="407" t="s">
        <v>444</v>
      </c>
      <c r="K177" s="892" t="s">
        <v>4</v>
      </c>
    </row>
    <row r="178" spans="1:11" s="136" customFormat="1" ht="18.75" customHeight="1">
      <c r="A178" s="884">
        <v>174</v>
      </c>
      <c r="B178" s="756" t="s">
        <v>9</v>
      </c>
      <c r="C178" s="886" t="s">
        <v>197</v>
      </c>
      <c r="G178" s="912"/>
      <c r="H178" s="1698"/>
      <c r="I178" s="891">
        <f>SUBTOTAL(103,$J$5:J178)</f>
        <v>174</v>
      </c>
      <c r="J178" s="407" t="s">
        <v>445</v>
      </c>
      <c r="K178" s="892" t="s">
        <v>2</v>
      </c>
    </row>
    <row r="179" spans="1:11" s="136" customFormat="1" ht="18.75" customHeight="1">
      <c r="A179" s="884">
        <v>175</v>
      </c>
      <c r="B179" s="756" t="s">
        <v>82</v>
      </c>
      <c r="C179" s="886" t="s">
        <v>2</v>
      </c>
      <c r="G179" s="912"/>
      <c r="H179" s="1698"/>
      <c r="I179" s="891">
        <f>SUBTOTAL(103,$J$5:J179)</f>
        <v>175</v>
      </c>
      <c r="J179" s="407" t="s">
        <v>9</v>
      </c>
      <c r="K179" s="892" t="s">
        <v>197</v>
      </c>
    </row>
    <row r="180" spans="1:11" s="136" customFormat="1" ht="18.75" customHeight="1">
      <c r="A180" s="884">
        <v>176</v>
      </c>
      <c r="B180" s="756" t="s">
        <v>163</v>
      </c>
      <c r="C180" s="886" t="s">
        <v>170</v>
      </c>
      <c r="G180" s="912"/>
      <c r="H180" s="1698"/>
      <c r="I180" s="891">
        <f>SUBTOTAL(103,$J$5:J180)</f>
        <v>176</v>
      </c>
      <c r="J180" s="407" t="s">
        <v>82</v>
      </c>
      <c r="K180" s="892" t="s">
        <v>2</v>
      </c>
    </row>
    <row r="181" spans="1:11" s="136" customFormat="1" ht="18.75" customHeight="1">
      <c r="A181" s="884">
        <v>177</v>
      </c>
      <c r="B181" s="756" t="s">
        <v>164</v>
      </c>
      <c r="C181" s="886" t="s">
        <v>2</v>
      </c>
      <c r="G181" s="912"/>
      <c r="H181" s="1698"/>
      <c r="I181" s="891">
        <f>SUBTOTAL(103,$J$5:J181)</f>
        <v>177</v>
      </c>
      <c r="J181" s="407" t="s">
        <v>163</v>
      </c>
      <c r="K181" s="892" t="s">
        <v>170</v>
      </c>
    </row>
    <row r="182" spans="1:11" s="136" customFormat="1" ht="18.75" customHeight="1">
      <c r="A182" s="884">
        <v>178</v>
      </c>
      <c r="B182" s="756" t="s">
        <v>446</v>
      </c>
      <c r="C182" s="886" t="s">
        <v>154</v>
      </c>
      <c r="G182" s="912"/>
      <c r="H182" s="1698"/>
      <c r="I182" s="891">
        <f>SUBTOTAL(103,$J$5:J182)</f>
        <v>178</v>
      </c>
      <c r="J182" s="407" t="s">
        <v>164</v>
      </c>
      <c r="K182" s="892" t="s">
        <v>2</v>
      </c>
    </row>
    <row r="183" spans="1:11" s="136" customFormat="1" ht="18.75" customHeight="1">
      <c r="A183" s="884">
        <v>179</v>
      </c>
      <c r="B183" s="756" t="s">
        <v>447</v>
      </c>
      <c r="C183" s="886" t="s">
        <v>79</v>
      </c>
      <c r="G183" s="912"/>
      <c r="H183" s="1698"/>
      <c r="I183" s="891">
        <f>SUBTOTAL(103,$J$5:J183)</f>
        <v>179</v>
      </c>
      <c r="J183" s="407" t="s">
        <v>446</v>
      </c>
      <c r="K183" s="892" t="s">
        <v>154</v>
      </c>
    </row>
    <row r="184" spans="1:11" s="136" customFormat="1" ht="18.75" customHeight="1">
      <c r="A184" s="884">
        <v>180</v>
      </c>
      <c r="B184" s="756" t="s">
        <v>448</v>
      </c>
      <c r="C184" s="886" t="s">
        <v>49</v>
      </c>
      <c r="G184" s="912"/>
      <c r="H184" s="1698"/>
      <c r="I184" s="891">
        <f>SUBTOTAL(103,$J$5:J184)</f>
        <v>180</v>
      </c>
      <c r="J184" s="407" t="s">
        <v>447</v>
      </c>
      <c r="K184" s="892" t="s">
        <v>79</v>
      </c>
    </row>
    <row r="185" spans="1:11" s="136" customFormat="1" ht="18.75" customHeight="1">
      <c r="A185" s="884">
        <v>181</v>
      </c>
      <c r="B185" s="756" t="s">
        <v>449</v>
      </c>
      <c r="C185" s="886" t="s">
        <v>3</v>
      </c>
      <c r="G185" s="912"/>
      <c r="H185" s="1698"/>
      <c r="I185" s="891">
        <f>SUBTOTAL(103,$J$5:J185)</f>
        <v>181</v>
      </c>
      <c r="J185" s="407" t="s">
        <v>448</v>
      </c>
      <c r="K185" s="892" t="s">
        <v>49</v>
      </c>
    </row>
    <row r="186" spans="1:11" s="136" customFormat="1" ht="18.75" customHeight="1">
      <c r="A186" s="884">
        <v>182</v>
      </c>
      <c r="B186" s="756" t="s">
        <v>450</v>
      </c>
      <c r="C186" s="886" t="s">
        <v>3</v>
      </c>
      <c r="G186" s="912"/>
      <c r="H186" s="1698"/>
      <c r="I186" s="891">
        <f>SUBTOTAL(103,$J$5:J186)</f>
        <v>182</v>
      </c>
      <c r="J186" s="407" t="s">
        <v>449</v>
      </c>
      <c r="K186" s="892" t="s">
        <v>3</v>
      </c>
    </row>
    <row r="187" spans="1:11" s="136" customFormat="1" ht="18.75" customHeight="1">
      <c r="A187" s="884">
        <v>183</v>
      </c>
      <c r="B187" s="756" t="s">
        <v>451</v>
      </c>
      <c r="C187" s="886" t="s">
        <v>170</v>
      </c>
      <c r="G187" s="912"/>
      <c r="H187" s="1698"/>
      <c r="I187" s="891">
        <f>SUBTOTAL(103,$J$5:J187)</f>
        <v>183</v>
      </c>
      <c r="J187" s="407" t="s">
        <v>450</v>
      </c>
      <c r="K187" s="892" t="s">
        <v>3</v>
      </c>
    </row>
    <row r="188" spans="1:11" s="136" customFormat="1" ht="18.75" customHeight="1">
      <c r="A188" s="884">
        <v>184</v>
      </c>
      <c r="B188" s="756" t="s">
        <v>452</v>
      </c>
      <c r="C188" s="886" t="s">
        <v>989</v>
      </c>
      <c r="G188" s="912"/>
      <c r="H188" s="1698"/>
      <c r="I188" s="891">
        <f>SUBTOTAL(103,$J$5:J188)</f>
        <v>184</v>
      </c>
      <c r="J188" s="407" t="s">
        <v>451</v>
      </c>
      <c r="K188" s="892" t="s">
        <v>170</v>
      </c>
    </row>
    <row r="189" spans="1:11" s="136" customFormat="1" ht="18.75" customHeight="1">
      <c r="A189" s="884">
        <v>185</v>
      </c>
      <c r="B189" s="756" t="s">
        <v>10</v>
      </c>
      <c r="C189" s="886" t="s">
        <v>184</v>
      </c>
      <c r="G189" s="912"/>
      <c r="H189" s="1698"/>
      <c r="I189" s="891">
        <f>SUBTOTAL(103,$J$5:J189)</f>
        <v>185</v>
      </c>
      <c r="J189" s="407" t="s">
        <v>452</v>
      </c>
      <c r="K189" s="892" t="s">
        <v>989</v>
      </c>
    </row>
    <row r="190" spans="1:11" s="136" customFormat="1" ht="18.75" customHeight="1">
      <c r="A190" s="884">
        <v>186</v>
      </c>
      <c r="B190" s="756" t="s">
        <v>66</v>
      </c>
      <c r="C190" s="886" t="s">
        <v>79</v>
      </c>
      <c r="G190" s="912"/>
      <c r="H190" s="1698"/>
      <c r="I190" s="891">
        <f>SUBTOTAL(103,$J$5:J190)</f>
        <v>186</v>
      </c>
      <c r="J190" s="407" t="s">
        <v>10</v>
      </c>
      <c r="K190" s="892" t="s">
        <v>184</v>
      </c>
    </row>
    <row r="191" spans="1:11" s="136" customFormat="1" ht="18.75" customHeight="1">
      <c r="A191" s="884">
        <v>187</v>
      </c>
      <c r="B191" s="756" t="s">
        <v>165</v>
      </c>
      <c r="C191" s="886" t="s">
        <v>49</v>
      </c>
      <c r="G191" s="912"/>
      <c r="H191" s="1698"/>
      <c r="I191" s="891">
        <f>SUBTOTAL(103,$J$5:J191)</f>
        <v>187</v>
      </c>
      <c r="J191" s="407" t="s">
        <v>66</v>
      </c>
      <c r="K191" s="892" t="s">
        <v>79</v>
      </c>
    </row>
    <row r="192" spans="1:11" s="136" customFormat="1" ht="18.75" customHeight="1">
      <c r="A192" s="884">
        <v>188</v>
      </c>
      <c r="B192" s="756" t="s">
        <v>875</v>
      </c>
      <c r="C192" s="886" t="s">
        <v>79</v>
      </c>
      <c r="G192" s="912"/>
      <c r="H192" s="1698"/>
      <c r="I192" s="891">
        <f>SUBTOTAL(103,$J$5:J192)</f>
        <v>188</v>
      </c>
      <c r="J192" s="407" t="s">
        <v>165</v>
      </c>
      <c r="K192" s="892" t="s">
        <v>49</v>
      </c>
    </row>
    <row r="193" spans="1:11" s="136" customFormat="1" ht="18.75" customHeight="1">
      <c r="A193" s="884">
        <v>189</v>
      </c>
      <c r="B193" s="756" t="s">
        <v>876</v>
      </c>
      <c r="C193" s="886" t="s">
        <v>49</v>
      </c>
      <c r="G193" s="912"/>
      <c r="H193" s="1698"/>
      <c r="I193" s="891">
        <f>SUBTOTAL(103,$J$5:J193)</f>
        <v>189</v>
      </c>
      <c r="J193" s="407" t="s">
        <v>875</v>
      </c>
      <c r="K193" s="892" t="s">
        <v>79</v>
      </c>
    </row>
    <row r="194" spans="1:11" s="136" customFormat="1" ht="18.75" customHeight="1">
      <c r="A194" s="884">
        <v>190</v>
      </c>
      <c r="B194" s="756" t="s">
        <v>877</v>
      </c>
      <c r="C194" s="886" t="s">
        <v>49</v>
      </c>
      <c r="G194" s="912"/>
      <c r="H194" s="1698"/>
      <c r="I194" s="891">
        <f>SUBTOTAL(103,$J$5:J194)</f>
        <v>190</v>
      </c>
      <c r="J194" s="407" t="s">
        <v>876</v>
      </c>
      <c r="K194" s="892" t="s">
        <v>49</v>
      </c>
    </row>
    <row r="195" spans="1:11" s="136" customFormat="1" ht="18.75" customHeight="1">
      <c r="A195" s="884">
        <v>191</v>
      </c>
      <c r="B195" s="756" t="s">
        <v>878</v>
      </c>
      <c r="C195" s="886" t="s">
        <v>49</v>
      </c>
      <c r="G195" s="912"/>
      <c r="H195" s="1698"/>
      <c r="I195" s="891">
        <f>SUBTOTAL(103,$J$5:J195)</f>
        <v>191</v>
      </c>
      <c r="J195" s="407" t="s">
        <v>877</v>
      </c>
      <c r="K195" s="892" t="s">
        <v>49</v>
      </c>
    </row>
    <row r="196" spans="1:11" s="136" customFormat="1" ht="18.75" customHeight="1">
      <c r="A196" s="884">
        <v>192</v>
      </c>
      <c r="B196" s="756" t="s">
        <v>879</v>
      </c>
      <c r="C196" s="886" t="s">
        <v>2</v>
      </c>
      <c r="G196" s="912"/>
      <c r="H196" s="1698"/>
      <c r="I196" s="891">
        <f>SUBTOTAL(103,$J$5:J196)</f>
        <v>192</v>
      </c>
      <c r="J196" s="407" t="s">
        <v>878</v>
      </c>
      <c r="K196" s="892" t="s">
        <v>49</v>
      </c>
    </row>
    <row r="197" spans="1:11" s="136" customFormat="1" ht="18.75" customHeight="1">
      <c r="A197" s="884">
        <v>193</v>
      </c>
      <c r="B197" s="756" t="s">
        <v>775</v>
      </c>
      <c r="C197" s="886" t="s">
        <v>211</v>
      </c>
      <c r="G197" s="912"/>
      <c r="H197" s="1698"/>
      <c r="I197" s="891">
        <f>SUBTOTAL(103,$J$5:J197)</f>
        <v>193</v>
      </c>
      <c r="J197" s="407" t="s">
        <v>879</v>
      </c>
      <c r="K197" s="892" t="s">
        <v>2</v>
      </c>
    </row>
    <row r="198" spans="1:11" s="136" customFormat="1" ht="18.75" customHeight="1">
      <c r="A198" s="884">
        <v>194</v>
      </c>
      <c r="B198" s="756" t="s">
        <v>776</v>
      </c>
      <c r="C198" s="886" t="s">
        <v>79</v>
      </c>
      <c r="G198" s="912"/>
      <c r="H198" s="1698"/>
      <c r="I198" s="891">
        <f>SUBTOTAL(103,$J$5:J198)</f>
        <v>194</v>
      </c>
      <c r="J198" s="407" t="s">
        <v>775</v>
      </c>
      <c r="K198" s="892" t="s">
        <v>211</v>
      </c>
    </row>
    <row r="199" spans="1:11" s="136" customFormat="1" ht="18.75" customHeight="1">
      <c r="A199" s="884">
        <v>195</v>
      </c>
      <c r="B199" s="756" t="s">
        <v>67</v>
      </c>
      <c r="C199" s="886" t="s">
        <v>211</v>
      </c>
      <c r="G199" s="912"/>
      <c r="H199" s="1698"/>
      <c r="I199" s="891">
        <f>SUBTOTAL(103,$J$5:J199)</f>
        <v>195</v>
      </c>
      <c r="J199" s="407" t="s">
        <v>776</v>
      </c>
      <c r="K199" s="892" t="s">
        <v>79</v>
      </c>
    </row>
    <row r="200" spans="1:11" s="136" customFormat="1" ht="18.75" customHeight="1">
      <c r="A200" s="884">
        <v>196</v>
      </c>
      <c r="B200" s="756" t="s">
        <v>68</v>
      </c>
      <c r="C200" s="886" t="s">
        <v>49</v>
      </c>
      <c r="G200" s="912"/>
      <c r="H200" s="1698"/>
      <c r="I200" s="891">
        <f>SUBTOTAL(103,$J$5:J200)</f>
        <v>196</v>
      </c>
      <c r="J200" s="407" t="s">
        <v>67</v>
      </c>
      <c r="K200" s="892" t="s">
        <v>211</v>
      </c>
    </row>
    <row r="201" spans="1:11" s="136" customFormat="1" ht="18.75" customHeight="1">
      <c r="A201" s="884">
        <v>197</v>
      </c>
      <c r="B201" s="756" t="s">
        <v>69</v>
      </c>
      <c r="C201" s="886" t="s">
        <v>49</v>
      </c>
      <c r="G201" s="912"/>
      <c r="H201" s="1698"/>
      <c r="I201" s="891">
        <f>SUBTOTAL(103,$J$5:J201)</f>
        <v>197</v>
      </c>
      <c r="J201" s="407" t="s">
        <v>68</v>
      </c>
      <c r="K201" s="892" t="s">
        <v>49</v>
      </c>
    </row>
    <row r="202" spans="1:11" s="136" customFormat="1" ht="18.75" customHeight="1">
      <c r="A202" s="884">
        <v>198</v>
      </c>
      <c r="B202" s="756" t="s">
        <v>70</v>
      </c>
      <c r="C202" s="886" t="s">
        <v>2</v>
      </c>
      <c r="G202" s="912"/>
      <c r="H202" s="1698"/>
      <c r="I202" s="891">
        <f>SUBTOTAL(103,$J$5:J202)</f>
        <v>198</v>
      </c>
      <c r="J202" s="407" t="s">
        <v>69</v>
      </c>
      <c r="K202" s="892" t="s">
        <v>49</v>
      </c>
    </row>
    <row r="203" spans="1:11" s="136" customFormat="1" ht="18.75" customHeight="1">
      <c r="A203" s="884">
        <v>199</v>
      </c>
      <c r="B203" s="756" t="s">
        <v>187</v>
      </c>
      <c r="C203" s="886" t="s">
        <v>2</v>
      </c>
      <c r="G203" s="912"/>
      <c r="H203" s="1698"/>
      <c r="I203" s="891">
        <f>SUBTOTAL(103,$J$5:J203)</f>
        <v>199</v>
      </c>
      <c r="J203" s="407" t="s">
        <v>70</v>
      </c>
      <c r="K203" s="892" t="s">
        <v>2</v>
      </c>
    </row>
    <row r="204" spans="1:11" s="136" customFormat="1" ht="18.75" customHeight="1">
      <c r="A204" s="884">
        <v>200</v>
      </c>
      <c r="B204" s="756" t="s">
        <v>571</v>
      </c>
      <c r="C204" s="886" t="s">
        <v>3</v>
      </c>
      <c r="G204" s="912"/>
      <c r="H204" s="1698"/>
      <c r="I204" s="891">
        <f>SUBTOTAL(103,$J$5:J204)</f>
        <v>200</v>
      </c>
      <c r="J204" s="407" t="s">
        <v>187</v>
      </c>
      <c r="K204" s="892" t="s">
        <v>2</v>
      </c>
    </row>
    <row r="205" spans="1:11" s="136" customFormat="1" ht="18.75" customHeight="1">
      <c r="A205" s="884">
        <v>201</v>
      </c>
      <c r="B205" s="756" t="s">
        <v>572</v>
      </c>
      <c r="C205" s="886" t="s">
        <v>79</v>
      </c>
      <c r="G205" s="912"/>
      <c r="H205" s="1698"/>
      <c r="I205" s="891">
        <f>SUBTOTAL(103,$J$5:J205)</f>
        <v>201</v>
      </c>
      <c r="J205" s="407" t="s">
        <v>571</v>
      </c>
      <c r="K205" s="892" t="s">
        <v>3</v>
      </c>
    </row>
    <row r="206" spans="1:11" s="136" customFormat="1" ht="18.75" customHeight="1">
      <c r="A206" s="884">
        <v>202</v>
      </c>
      <c r="B206" s="756" t="s">
        <v>573</v>
      </c>
      <c r="C206" s="886" t="s">
        <v>79</v>
      </c>
      <c r="G206" s="912"/>
      <c r="H206" s="1698"/>
      <c r="I206" s="891">
        <f>SUBTOTAL(103,$J$5:J206)</f>
        <v>202</v>
      </c>
      <c r="J206" s="407" t="s">
        <v>572</v>
      </c>
      <c r="K206" s="892" t="s">
        <v>79</v>
      </c>
    </row>
    <row r="207" spans="1:11" s="136" customFormat="1" ht="18.75" customHeight="1">
      <c r="A207" s="884">
        <v>203</v>
      </c>
      <c r="B207" s="756" t="s">
        <v>574</v>
      </c>
      <c r="C207" s="886" t="s">
        <v>2</v>
      </c>
      <c r="G207" s="912"/>
      <c r="H207" s="1698"/>
      <c r="I207" s="891">
        <f>SUBTOTAL(103,$J$5:J207)</f>
        <v>203</v>
      </c>
      <c r="J207" s="407" t="s">
        <v>573</v>
      </c>
      <c r="K207" s="892" t="s">
        <v>79</v>
      </c>
    </row>
    <row r="208" spans="1:11" s="136" customFormat="1" ht="18.75" customHeight="1">
      <c r="A208" s="884">
        <v>204</v>
      </c>
      <c r="B208" s="756" t="s">
        <v>575</v>
      </c>
      <c r="C208" s="886" t="s">
        <v>170</v>
      </c>
      <c r="G208" s="912"/>
      <c r="H208" s="1698"/>
      <c r="I208" s="891">
        <f>SUBTOTAL(103,$J$5:J208)</f>
        <v>204</v>
      </c>
      <c r="J208" s="407" t="s">
        <v>574</v>
      </c>
      <c r="K208" s="892" t="s">
        <v>2</v>
      </c>
    </row>
    <row r="209" spans="1:11" s="136" customFormat="1" ht="18.75" customHeight="1">
      <c r="A209" s="884">
        <v>205</v>
      </c>
      <c r="B209" s="756" t="s">
        <v>166</v>
      </c>
      <c r="C209" s="886" t="s">
        <v>227</v>
      </c>
      <c r="G209" s="912"/>
      <c r="H209" s="1698"/>
      <c r="I209" s="891">
        <f>SUBTOTAL(103,$J$5:J209)</f>
        <v>205</v>
      </c>
      <c r="J209" s="407" t="s">
        <v>575</v>
      </c>
      <c r="K209" s="892" t="s">
        <v>170</v>
      </c>
    </row>
    <row r="210" spans="1:11" s="136" customFormat="1" ht="18.75" customHeight="1">
      <c r="A210" s="884">
        <v>206</v>
      </c>
      <c r="B210" s="756" t="s">
        <v>577</v>
      </c>
      <c r="C210" s="886" t="s">
        <v>49</v>
      </c>
      <c r="G210" s="912"/>
      <c r="H210" s="1698"/>
      <c r="I210" s="891">
        <f>SUBTOTAL(103,$J$5:J210)</f>
        <v>206</v>
      </c>
      <c r="J210" s="407" t="s">
        <v>166</v>
      </c>
      <c r="K210" s="892" t="s">
        <v>227</v>
      </c>
    </row>
    <row r="211" spans="1:11" s="136" customFormat="1" ht="18.75" customHeight="1">
      <c r="A211" s="884">
        <v>207</v>
      </c>
      <c r="B211" s="756" t="s">
        <v>578</v>
      </c>
      <c r="C211" s="886" t="s">
        <v>49</v>
      </c>
      <c r="G211" s="912"/>
      <c r="H211" s="1698"/>
      <c r="I211" s="891">
        <f>SUBTOTAL(103,$J$5:J211)</f>
        <v>207</v>
      </c>
      <c r="J211" s="407" t="s">
        <v>577</v>
      </c>
      <c r="K211" s="892" t="s">
        <v>49</v>
      </c>
    </row>
    <row r="212" spans="1:11" s="136" customFormat="1" ht="18.75" customHeight="1">
      <c r="A212" s="884">
        <v>208</v>
      </c>
      <c r="B212" s="756" t="s">
        <v>579</v>
      </c>
      <c r="C212" s="886" t="s">
        <v>170</v>
      </c>
      <c r="G212" s="912"/>
      <c r="H212" s="1698"/>
      <c r="I212" s="891">
        <f>SUBTOTAL(103,$J$5:J212)</f>
        <v>208</v>
      </c>
      <c r="J212" s="407" t="s">
        <v>578</v>
      </c>
      <c r="K212" s="892" t="s">
        <v>49</v>
      </c>
    </row>
    <row r="213" spans="1:11" s="136" customFormat="1" ht="18.75" customHeight="1">
      <c r="A213" s="884">
        <v>209</v>
      </c>
      <c r="B213" s="756" t="s">
        <v>580</v>
      </c>
      <c r="C213" s="886" t="s">
        <v>79</v>
      </c>
      <c r="G213" s="912"/>
      <c r="H213" s="1698"/>
      <c r="I213" s="891">
        <f>SUBTOTAL(103,$J$5:J213)</f>
        <v>209</v>
      </c>
      <c r="J213" s="407" t="s">
        <v>579</v>
      </c>
      <c r="K213" s="892" t="s">
        <v>170</v>
      </c>
    </row>
    <row r="214" spans="1:11" s="136" customFormat="1" ht="18.75" customHeight="1">
      <c r="A214" s="884">
        <v>210</v>
      </c>
      <c r="B214" s="756" t="s">
        <v>581</v>
      </c>
      <c r="C214" s="886" t="s">
        <v>49</v>
      </c>
      <c r="G214" s="912"/>
      <c r="H214" s="1698"/>
      <c r="I214" s="891">
        <f>SUBTOTAL(103,$J$5:J214)</f>
        <v>210</v>
      </c>
      <c r="J214" s="407" t="s">
        <v>580</v>
      </c>
      <c r="K214" s="892" t="s">
        <v>79</v>
      </c>
    </row>
    <row r="215" spans="1:11" s="136" customFormat="1" ht="18.75" customHeight="1">
      <c r="A215" s="884">
        <v>211</v>
      </c>
      <c r="B215" s="756" t="s">
        <v>582</v>
      </c>
      <c r="C215" s="886" t="s">
        <v>2</v>
      </c>
      <c r="G215" s="912"/>
      <c r="H215" s="1698"/>
      <c r="I215" s="891">
        <f>SUBTOTAL(103,$J$5:J215)</f>
        <v>211</v>
      </c>
      <c r="J215" s="407" t="s">
        <v>581</v>
      </c>
      <c r="K215" s="892" t="s">
        <v>49</v>
      </c>
    </row>
    <row r="216" spans="1:11" s="136" customFormat="1" ht="18.75" customHeight="1">
      <c r="A216" s="884">
        <v>212</v>
      </c>
      <c r="B216" s="756" t="s">
        <v>583</v>
      </c>
      <c r="C216" s="886" t="s">
        <v>3</v>
      </c>
      <c r="G216" s="912"/>
      <c r="H216" s="1698"/>
      <c r="I216" s="891">
        <f>SUBTOTAL(103,$J$5:J216)</f>
        <v>212</v>
      </c>
      <c r="J216" s="407" t="s">
        <v>582</v>
      </c>
      <c r="K216" s="892" t="s">
        <v>2</v>
      </c>
    </row>
    <row r="217" spans="1:11" s="136" customFormat="1" ht="18.75" customHeight="1">
      <c r="A217" s="884">
        <v>213</v>
      </c>
      <c r="B217" s="756" t="s">
        <v>584</v>
      </c>
      <c r="C217" s="886" t="s">
        <v>3</v>
      </c>
      <c r="G217" s="912"/>
      <c r="H217" s="1698"/>
      <c r="I217" s="891">
        <f>SUBTOTAL(103,$J$5:J217)</f>
        <v>213</v>
      </c>
      <c r="J217" s="407" t="s">
        <v>583</v>
      </c>
      <c r="K217" s="892" t="s">
        <v>3</v>
      </c>
    </row>
    <row r="218" spans="1:11" s="136" customFormat="1" ht="18.75" customHeight="1">
      <c r="A218" s="884">
        <v>214</v>
      </c>
      <c r="B218" s="756" t="s">
        <v>585</v>
      </c>
      <c r="C218" s="886" t="s">
        <v>170</v>
      </c>
      <c r="G218" s="912"/>
      <c r="H218" s="1698"/>
      <c r="I218" s="891">
        <f>SUBTOTAL(103,$J$5:J218)</f>
        <v>214</v>
      </c>
      <c r="J218" s="407" t="s">
        <v>584</v>
      </c>
      <c r="K218" s="892" t="s">
        <v>3</v>
      </c>
    </row>
    <row r="219" spans="1:11" s="136" customFormat="1" ht="18.75" customHeight="1">
      <c r="A219" s="884">
        <v>215</v>
      </c>
      <c r="B219" s="756" t="s">
        <v>586</v>
      </c>
      <c r="C219" s="886" t="s">
        <v>4</v>
      </c>
      <c r="G219" s="912"/>
      <c r="H219" s="1698"/>
      <c r="I219" s="891">
        <f>SUBTOTAL(103,$J$5:J219)</f>
        <v>215</v>
      </c>
      <c r="J219" s="407" t="s">
        <v>585</v>
      </c>
      <c r="K219" s="892" t="s">
        <v>170</v>
      </c>
    </row>
    <row r="220" spans="1:11" s="136" customFormat="1" ht="18.75" customHeight="1">
      <c r="A220" s="884">
        <v>216</v>
      </c>
      <c r="B220" s="756" t="s">
        <v>587</v>
      </c>
      <c r="C220" s="886" t="s">
        <v>170</v>
      </c>
      <c r="G220" s="912"/>
      <c r="H220" s="1698"/>
      <c r="I220" s="891">
        <f>SUBTOTAL(103,$J$5:J220)</f>
        <v>216</v>
      </c>
      <c r="J220" s="407" t="s">
        <v>586</v>
      </c>
      <c r="K220" s="892" t="s">
        <v>4</v>
      </c>
    </row>
    <row r="221" spans="1:11" s="136" customFormat="1" ht="18.75" customHeight="1">
      <c r="A221" s="884">
        <v>217</v>
      </c>
      <c r="B221" s="756" t="s">
        <v>588</v>
      </c>
      <c r="C221" s="886" t="s">
        <v>2</v>
      </c>
      <c r="G221" s="912"/>
      <c r="H221" s="1698"/>
      <c r="I221" s="891">
        <f>SUBTOTAL(103,$J$5:J221)</f>
        <v>217</v>
      </c>
      <c r="J221" s="407" t="s">
        <v>587</v>
      </c>
      <c r="K221" s="892" t="s">
        <v>170</v>
      </c>
    </row>
    <row r="222" spans="1:11" s="136" customFormat="1" ht="18.75" customHeight="1">
      <c r="A222" s="884">
        <v>218</v>
      </c>
      <c r="B222" s="756" t="s">
        <v>71</v>
      </c>
      <c r="C222" s="886" t="s">
        <v>184</v>
      </c>
      <c r="G222" s="912"/>
      <c r="H222" s="1698"/>
      <c r="I222" s="891">
        <f>SUBTOTAL(103,$J$5:J222)</f>
        <v>218</v>
      </c>
      <c r="J222" s="407" t="s">
        <v>588</v>
      </c>
      <c r="K222" s="892" t="s">
        <v>2</v>
      </c>
    </row>
    <row r="223" spans="1:11" s="136" customFormat="1" ht="18.75" customHeight="1">
      <c r="A223" s="884">
        <v>219</v>
      </c>
      <c r="B223" s="756" t="s">
        <v>590</v>
      </c>
      <c r="C223" s="886" t="s">
        <v>79</v>
      </c>
      <c r="G223" s="912"/>
      <c r="H223" s="1698"/>
      <c r="I223" s="891">
        <f>SUBTOTAL(103,$J$5:J223)</f>
        <v>219</v>
      </c>
      <c r="J223" s="407" t="s">
        <v>71</v>
      </c>
      <c r="K223" s="892" t="s">
        <v>184</v>
      </c>
    </row>
    <row r="224" spans="1:11" s="136" customFormat="1" ht="18.75" customHeight="1">
      <c r="A224" s="884">
        <v>220</v>
      </c>
      <c r="B224" s="756" t="s">
        <v>591</v>
      </c>
      <c r="C224" s="886" t="s">
        <v>79</v>
      </c>
      <c r="G224" s="912"/>
      <c r="H224" s="1698"/>
      <c r="I224" s="891">
        <f>SUBTOTAL(103,$J$5:J224)</f>
        <v>220</v>
      </c>
      <c r="J224" s="407" t="s">
        <v>590</v>
      </c>
      <c r="K224" s="892" t="s">
        <v>79</v>
      </c>
    </row>
    <row r="225" spans="1:11" s="136" customFormat="1" ht="18.75" customHeight="1">
      <c r="A225" s="884">
        <v>221</v>
      </c>
      <c r="B225" s="756" t="s">
        <v>592</v>
      </c>
      <c r="C225" s="886" t="s">
        <v>4</v>
      </c>
      <c r="G225" s="912"/>
      <c r="H225" s="1698"/>
      <c r="I225" s="891">
        <f>SUBTOTAL(103,$J$5:J225)</f>
        <v>221</v>
      </c>
      <c r="J225" s="407" t="s">
        <v>591</v>
      </c>
      <c r="K225" s="892" t="s">
        <v>79</v>
      </c>
    </row>
    <row r="226" spans="1:11" s="136" customFormat="1" ht="18.75" customHeight="1">
      <c r="A226" s="884">
        <v>222</v>
      </c>
      <c r="B226" s="756" t="s">
        <v>593</v>
      </c>
      <c r="C226" s="886" t="s">
        <v>49</v>
      </c>
      <c r="G226" s="912"/>
      <c r="H226" s="1698"/>
      <c r="I226" s="891">
        <f>SUBTOTAL(103,$J$5:J226)</f>
        <v>222</v>
      </c>
      <c r="J226" s="407" t="s">
        <v>592</v>
      </c>
      <c r="K226" s="892" t="s">
        <v>4</v>
      </c>
    </row>
    <row r="227" spans="1:11" s="136" customFormat="1" ht="18.75" customHeight="1">
      <c r="A227" s="884">
        <v>223</v>
      </c>
      <c r="B227" s="756" t="s">
        <v>594</v>
      </c>
      <c r="C227" s="886" t="s">
        <v>49</v>
      </c>
      <c r="G227" s="912"/>
      <c r="H227" s="1698"/>
      <c r="I227" s="891">
        <f>SUBTOTAL(103,$J$5:J227)</f>
        <v>223</v>
      </c>
      <c r="J227" s="407" t="s">
        <v>593</v>
      </c>
      <c r="K227" s="892" t="s">
        <v>49</v>
      </c>
    </row>
    <row r="228" spans="1:11" s="136" customFormat="1" ht="18.75" customHeight="1">
      <c r="A228" s="884">
        <v>224</v>
      </c>
      <c r="B228" s="756" t="s">
        <v>595</v>
      </c>
      <c r="C228" s="886" t="s">
        <v>79</v>
      </c>
      <c r="G228" s="912"/>
      <c r="H228" s="1698"/>
      <c r="I228" s="891">
        <f>SUBTOTAL(103,$J$5:J228)</f>
        <v>224</v>
      </c>
      <c r="J228" s="407" t="s">
        <v>594</v>
      </c>
      <c r="K228" s="892" t="s">
        <v>49</v>
      </c>
    </row>
    <row r="229" spans="1:11" s="136" customFormat="1" ht="18.75" customHeight="1">
      <c r="A229" s="884">
        <v>225</v>
      </c>
      <c r="B229" s="756" t="s">
        <v>596</v>
      </c>
      <c r="C229" s="886" t="s">
        <v>2</v>
      </c>
      <c r="G229" s="912"/>
      <c r="H229" s="1698"/>
      <c r="I229" s="891">
        <f>SUBTOTAL(103,$J$5:J229)</f>
        <v>225</v>
      </c>
      <c r="J229" s="407" t="s">
        <v>595</v>
      </c>
      <c r="K229" s="892" t="s">
        <v>79</v>
      </c>
    </row>
    <row r="230" spans="1:11" s="136" customFormat="1" ht="18.75" customHeight="1">
      <c r="A230" s="884">
        <v>226</v>
      </c>
      <c r="B230" s="756" t="s">
        <v>597</v>
      </c>
      <c r="C230" s="886" t="s">
        <v>79</v>
      </c>
      <c r="G230" s="912"/>
      <c r="H230" s="1698"/>
      <c r="I230" s="891">
        <f>SUBTOTAL(103,$J$5:J230)</f>
        <v>226</v>
      </c>
      <c r="J230" s="407" t="s">
        <v>596</v>
      </c>
      <c r="K230" s="892" t="s">
        <v>2</v>
      </c>
    </row>
    <row r="231" spans="1:11" s="136" customFormat="1" ht="18.75" customHeight="1">
      <c r="A231" s="884">
        <v>227</v>
      </c>
      <c r="B231" s="756" t="s">
        <v>598</v>
      </c>
      <c r="C231" s="886" t="s">
        <v>170</v>
      </c>
      <c r="G231" s="912"/>
      <c r="H231" s="1698"/>
      <c r="I231" s="891">
        <f>SUBTOTAL(103,$J$5:J231)</f>
        <v>227</v>
      </c>
      <c r="J231" s="407" t="s">
        <v>597</v>
      </c>
      <c r="K231" s="892" t="s">
        <v>79</v>
      </c>
    </row>
    <row r="232" spans="1:11" s="136" customFormat="1" ht="18.75" customHeight="1">
      <c r="A232" s="884">
        <v>228</v>
      </c>
      <c r="B232" s="756" t="s">
        <v>599</v>
      </c>
      <c r="C232" s="886" t="s">
        <v>2</v>
      </c>
      <c r="G232" s="912"/>
      <c r="H232" s="1698"/>
      <c r="I232" s="891">
        <f>SUBTOTAL(103,$J$5:J232)</f>
        <v>228</v>
      </c>
      <c r="J232" s="407" t="s">
        <v>598</v>
      </c>
      <c r="K232" s="892" t="s">
        <v>170</v>
      </c>
    </row>
    <row r="233" spans="1:11" s="136" customFormat="1" ht="18.75" customHeight="1">
      <c r="A233" s="884">
        <v>229</v>
      </c>
      <c r="B233" s="756" t="s">
        <v>600</v>
      </c>
      <c r="C233" s="886" t="s">
        <v>2</v>
      </c>
      <c r="G233" s="912"/>
      <c r="H233" s="1698"/>
      <c r="I233" s="891">
        <f>SUBTOTAL(103,$J$5:J233)</f>
        <v>229</v>
      </c>
      <c r="J233" s="407" t="s">
        <v>599</v>
      </c>
      <c r="K233" s="892" t="s">
        <v>2</v>
      </c>
    </row>
    <row r="234" spans="1:11" s="136" customFormat="1" ht="18.75" customHeight="1">
      <c r="A234" s="884">
        <v>230</v>
      </c>
      <c r="B234" s="756" t="s">
        <v>8</v>
      </c>
      <c r="C234" s="886" t="s">
        <v>228</v>
      </c>
      <c r="G234" s="912"/>
      <c r="H234" s="1698"/>
      <c r="I234" s="891">
        <f>SUBTOTAL(103,$J$5:J234)</f>
        <v>230</v>
      </c>
      <c r="J234" s="407" t="s">
        <v>600</v>
      </c>
      <c r="K234" s="892" t="s">
        <v>2</v>
      </c>
    </row>
    <row r="235" spans="1:11" s="136" customFormat="1" ht="18.75" customHeight="1">
      <c r="A235" s="884">
        <v>231</v>
      </c>
      <c r="B235" s="756" t="s">
        <v>241</v>
      </c>
      <c r="C235" s="886" t="s">
        <v>211</v>
      </c>
      <c r="G235" s="912"/>
      <c r="H235" s="1698"/>
      <c r="I235" s="891">
        <f>SUBTOTAL(103,$J$5:J235)</f>
        <v>231</v>
      </c>
      <c r="J235" s="407" t="s">
        <v>8</v>
      </c>
      <c r="K235" s="892" t="s">
        <v>228</v>
      </c>
    </row>
    <row r="236" spans="1:11" s="136" customFormat="1" ht="18.75" customHeight="1">
      <c r="A236" s="884">
        <v>232</v>
      </c>
      <c r="B236" s="756" t="s">
        <v>242</v>
      </c>
      <c r="C236" s="886" t="s">
        <v>2</v>
      </c>
      <c r="G236" s="912"/>
      <c r="H236" s="1698"/>
      <c r="I236" s="891">
        <f>SUBTOTAL(103,$J$5:J236)</f>
        <v>232</v>
      </c>
      <c r="J236" s="407" t="s">
        <v>1071</v>
      </c>
      <c r="K236" s="892" t="s">
        <v>211</v>
      </c>
    </row>
    <row r="237" spans="1:11" s="136" customFormat="1" ht="18.75" customHeight="1">
      <c r="A237" s="884">
        <v>233</v>
      </c>
      <c r="B237" s="756" t="s">
        <v>205</v>
      </c>
      <c r="C237" s="886" t="s">
        <v>49</v>
      </c>
      <c r="G237" s="912"/>
      <c r="H237" s="1698"/>
      <c r="I237" s="891">
        <f>SUBTOTAL(103,$J$5:J237)</f>
        <v>233</v>
      </c>
      <c r="J237" s="407" t="s">
        <v>1072</v>
      </c>
      <c r="K237" s="892" t="s">
        <v>2</v>
      </c>
    </row>
    <row r="238" spans="1:11" s="136" customFormat="1" ht="18.75" customHeight="1">
      <c r="A238" s="884">
        <v>234</v>
      </c>
      <c r="B238" s="756" t="s">
        <v>168</v>
      </c>
      <c r="C238" s="886" t="s">
        <v>228</v>
      </c>
      <c r="G238" s="912"/>
      <c r="H238" s="1698"/>
      <c r="I238" s="891">
        <f>SUBTOTAL(103,$J$5:J238)</f>
        <v>234</v>
      </c>
      <c r="J238" s="944" t="s">
        <v>1787</v>
      </c>
      <c r="K238" s="1204" t="s">
        <v>215</v>
      </c>
    </row>
    <row r="239" spans="1:11" s="136" customFormat="1" ht="18.75" customHeight="1">
      <c r="A239" s="884">
        <v>235</v>
      </c>
      <c r="B239" s="756" t="s">
        <v>603</v>
      </c>
      <c r="C239" s="886" t="s">
        <v>2</v>
      </c>
      <c r="G239" s="912"/>
      <c r="H239" s="1698"/>
      <c r="I239" s="891">
        <f>SUBTOTAL(103,$J$5:J239)</f>
        <v>235</v>
      </c>
      <c r="J239" s="944" t="s">
        <v>1788</v>
      </c>
      <c r="K239" s="1204" t="s">
        <v>430</v>
      </c>
    </row>
    <row r="240" spans="1:11" s="136" customFormat="1" ht="18.75" customHeight="1">
      <c r="A240" s="884">
        <v>236</v>
      </c>
      <c r="B240" s="756" t="s">
        <v>604</v>
      </c>
      <c r="C240" s="886" t="s">
        <v>2</v>
      </c>
      <c r="G240" s="912"/>
      <c r="H240" s="1698"/>
      <c r="I240" s="891">
        <f>SUBTOTAL(103,$J$5:J240)</f>
        <v>236</v>
      </c>
      <c r="J240" s="944" t="s">
        <v>1789</v>
      </c>
      <c r="K240" s="1204" t="s">
        <v>215</v>
      </c>
    </row>
    <row r="241" spans="1:11" s="136" customFormat="1" ht="18.75" customHeight="1">
      <c r="A241" s="884">
        <v>237</v>
      </c>
      <c r="B241" s="756" t="s">
        <v>605</v>
      </c>
      <c r="C241" s="886" t="s">
        <v>154</v>
      </c>
      <c r="G241" s="912"/>
      <c r="H241" s="1698"/>
      <c r="I241" s="891">
        <f>SUBTOTAL(103,$J$5:J241)</f>
        <v>237</v>
      </c>
      <c r="J241" s="407" t="s">
        <v>604</v>
      </c>
      <c r="K241" s="892" t="s">
        <v>2</v>
      </c>
    </row>
    <row r="242" spans="1:11" s="136" customFormat="1" ht="18.75" customHeight="1">
      <c r="A242" s="884">
        <v>238</v>
      </c>
      <c r="B242" s="756" t="s">
        <v>606</v>
      </c>
      <c r="C242" s="886" t="s">
        <v>49</v>
      </c>
      <c r="G242" s="912"/>
      <c r="H242" s="1698"/>
      <c r="I242" s="891">
        <f>SUBTOTAL(103,$J$5:J242)</f>
        <v>238</v>
      </c>
      <c r="J242" s="407" t="s">
        <v>605</v>
      </c>
      <c r="K242" s="892" t="s">
        <v>154</v>
      </c>
    </row>
    <row r="243" spans="1:11" s="136" customFormat="1" ht="18.75" customHeight="1">
      <c r="A243" s="884">
        <v>239</v>
      </c>
      <c r="B243" s="756" t="s">
        <v>607</v>
      </c>
      <c r="C243" s="886" t="s">
        <v>2</v>
      </c>
      <c r="G243" s="912"/>
      <c r="H243" s="1698"/>
      <c r="I243" s="891">
        <f>SUBTOTAL(103,$J$5:J243)</f>
        <v>239</v>
      </c>
      <c r="J243" s="407" t="s">
        <v>606</v>
      </c>
      <c r="K243" s="892" t="s">
        <v>49</v>
      </c>
    </row>
    <row r="244" spans="1:11" s="136" customFormat="1" ht="18.75" customHeight="1">
      <c r="A244" s="884">
        <v>240</v>
      </c>
      <c r="B244" s="756" t="s">
        <v>777</v>
      </c>
      <c r="C244" s="886" t="s">
        <v>197</v>
      </c>
      <c r="G244" s="912"/>
      <c r="H244" s="1698"/>
      <c r="I244" s="891">
        <f>SUBTOTAL(103,$J$5:J244)</f>
        <v>240</v>
      </c>
      <c r="J244" s="407" t="s">
        <v>607</v>
      </c>
      <c r="K244" s="892" t="s">
        <v>2</v>
      </c>
    </row>
    <row r="245" spans="1:11" s="136" customFormat="1" ht="18.75" customHeight="1">
      <c r="A245" s="884">
        <v>241</v>
      </c>
      <c r="B245" s="756" t="s">
        <v>778</v>
      </c>
      <c r="C245" s="886" t="s">
        <v>2</v>
      </c>
      <c r="G245" s="912"/>
      <c r="H245" s="1698"/>
      <c r="I245" s="891">
        <f>SUBTOTAL(103,$J$5:J245)</f>
        <v>241</v>
      </c>
      <c r="J245" s="407" t="s">
        <v>777</v>
      </c>
      <c r="K245" s="892" t="s">
        <v>197</v>
      </c>
    </row>
    <row r="246" spans="1:11" s="136" customFormat="1" ht="18.75" customHeight="1">
      <c r="A246" s="884">
        <v>242</v>
      </c>
      <c r="B246" s="756" t="s">
        <v>779</v>
      </c>
      <c r="C246" s="886" t="s">
        <v>170</v>
      </c>
      <c r="G246" s="912"/>
      <c r="H246" s="1698"/>
      <c r="I246" s="891">
        <f>SUBTOTAL(103,$J$5:J246)</f>
        <v>242</v>
      </c>
      <c r="J246" s="407" t="s">
        <v>778</v>
      </c>
      <c r="K246" s="892" t="s">
        <v>2</v>
      </c>
    </row>
    <row r="247" spans="1:11" s="136" customFormat="1" ht="18.75" customHeight="1">
      <c r="A247" s="884">
        <v>243</v>
      </c>
      <c r="B247" s="756" t="s">
        <v>780</v>
      </c>
      <c r="C247" s="886" t="s">
        <v>2</v>
      </c>
      <c r="G247" s="912"/>
      <c r="H247" s="1698"/>
      <c r="I247" s="891">
        <f>SUBTOTAL(103,$J$5:J247)</f>
        <v>243</v>
      </c>
      <c r="J247" s="407" t="s">
        <v>779</v>
      </c>
      <c r="K247" s="892" t="s">
        <v>170</v>
      </c>
    </row>
    <row r="248" spans="1:11" s="136" customFormat="1" ht="18.75" customHeight="1">
      <c r="A248" s="884">
        <v>244</v>
      </c>
      <c r="B248" s="756" t="s">
        <v>781</v>
      </c>
      <c r="C248" s="886" t="s">
        <v>49</v>
      </c>
      <c r="G248" s="912"/>
      <c r="H248" s="1698"/>
      <c r="I248" s="891">
        <f>SUBTOTAL(103,$J$5:J248)</f>
        <v>244</v>
      </c>
      <c r="J248" s="407" t="s">
        <v>780</v>
      </c>
      <c r="K248" s="892" t="s">
        <v>2</v>
      </c>
    </row>
    <row r="249" spans="1:11" s="136" customFormat="1" ht="18.75" customHeight="1">
      <c r="A249" s="884">
        <v>245</v>
      </c>
      <c r="B249" s="756" t="s">
        <v>782</v>
      </c>
      <c r="C249" s="886" t="s">
        <v>2</v>
      </c>
      <c r="G249" s="912"/>
      <c r="H249" s="1698"/>
      <c r="I249" s="891">
        <f>SUBTOTAL(103,$J$5:J249)</f>
        <v>245</v>
      </c>
      <c r="J249" s="407" t="s">
        <v>781</v>
      </c>
      <c r="K249" s="892" t="s">
        <v>49</v>
      </c>
    </row>
    <row r="250" spans="1:11" s="136" customFormat="1" ht="18.75" customHeight="1">
      <c r="A250" s="884">
        <v>246</v>
      </c>
      <c r="B250" s="756" t="s">
        <v>783</v>
      </c>
      <c r="C250" s="886" t="s">
        <v>2</v>
      </c>
      <c r="G250" s="912"/>
      <c r="H250" s="1698"/>
      <c r="I250" s="891">
        <f>SUBTOTAL(103,$J$5:J250)</f>
        <v>246</v>
      </c>
      <c r="J250" s="407" t="s">
        <v>782</v>
      </c>
      <c r="K250" s="892" t="s">
        <v>2</v>
      </c>
    </row>
    <row r="251" spans="1:11" s="136" customFormat="1" ht="18.75" customHeight="1">
      <c r="A251" s="884">
        <v>247</v>
      </c>
      <c r="B251" s="756" t="s">
        <v>72</v>
      </c>
      <c r="C251" s="886" t="s">
        <v>226</v>
      </c>
      <c r="G251" s="912"/>
      <c r="H251" s="1698"/>
      <c r="I251" s="891">
        <f>SUBTOTAL(103,$J$5:J251)</f>
        <v>247</v>
      </c>
      <c r="J251" s="407" t="s">
        <v>783</v>
      </c>
      <c r="K251" s="892" t="s">
        <v>2</v>
      </c>
    </row>
    <row r="252" spans="1:11" s="136" customFormat="1" ht="18.75" customHeight="1">
      <c r="A252" s="884">
        <v>248</v>
      </c>
      <c r="B252" s="756" t="s">
        <v>609</v>
      </c>
      <c r="C252" s="886" t="s">
        <v>3</v>
      </c>
      <c r="G252" s="912"/>
      <c r="H252" s="1698"/>
      <c r="I252" s="891">
        <f>SUBTOTAL(103,$J$5:J252)</f>
        <v>248</v>
      </c>
      <c r="J252" s="407" t="s">
        <v>72</v>
      </c>
      <c r="K252" s="892" t="s">
        <v>226</v>
      </c>
    </row>
    <row r="253" spans="1:11" s="136" customFormat="1" ht="18.75" customHeight="1">
      <c r="A253" s="884">
        <v>249</v>
      </c>
      <c r="B253" s="756" t="s">
        <v>610</v>
      </c>
      <c r="C253" s="886" t="s">
        <v>3</v>
      </c>
      <c r="G253" s="912"/>
      <c r="H253" s="1698"/>
      <c r="I253" s="891">
        <f>SUBTOTAL(103,$J$5:J253)</f>
        <v>249</v>
      </c>
      <c r="J253" s="407" t="s">
        <v>609</v>
      </c>
      <c r="K253" s="892" t="s">
        <v>3</v>
      </c>
    </row>
    <row r="254" spans="1:11" s="136" customFormat="1" ht="18.75" customHeight="1">
      <c r="A254" s="884">
        <v>250</v>
      </c>
      <c r="B254" s="756" t="s">
        <v>611</v>
      </c>
      <c r="C254" s="886" t="s">
        <v>2</v>
      </c>
      <c r="G254" s="912"/>
      <c r="H254" s="1698"/>
      <c r="I254" s="891">
        <f>SUBTOTAL(103,$J$5:J254)</f>
        <v>250</v>
      </c>
      <c r="J254" s="407" t="s">
        <v>610</v>
      </c>
      <c r="K254" s="892" t="s">
        <v>3</v>
      </c>
    </row>
    <row r="255" spans="1:11" s="136" customFormat="1" ht="18.75" customHeight="1">
      <c r="A255" s="884">
        <v>251</v>
      </c>
      <c r="B255" s="756" t="s">
        <v>612</v>
      </c>
      <c r="C255" s="886" t="s">
        <v>170</v>
      </c>
      <c r="G255" s="912"/>
      <c r="H255" s="1698"/>
      <c r="I255" s="891">
        <f>SUBTOTAL(103,$J$5:J255)</f>
        <v>251</v>
      </c>
      <c r="J255" s="407" t="s">
        <v>611</v>
      </c>
      <c r="K255" s="892" t="s">
        <v>2</v>
      </c>
    </row>
    <row r="256" spans="1:11" s="136" customFormat="1" ht="18.75" customHeight="1">
      <c r="A256" s="884">
        <v>252</v>
      </c>
      <c r="B256" s="756" t="s">
        <v>613</v>
      </c>
      <c r="C256" s="886" t="s">
        <v>2</v>
      </c>
      <c r="G256" s="912"/>
      <c r="H256" s="1698"/>
      <c r="I256" s="891">
        <f>SUBTOTAL(103,$J$5:J256)</f>
        <v>252</v>
      </c>
      <c r="J256" s="407" t="s">
        <v>612</v>
      </c>
      <c r="K256" s="892" t="s">
        <v>170</v>
      </c>
    </row>
    <row r="257" spans="1:11" s="136" customFormat="1" ht="18.75" customHeight="1">
      <c r="A257" s="884">
        <v>253</v>
      </c>
      <c r="B257" s="756" t="s">
        <v>614</v>
      </c>
      <c r="C257" s="886" t="s">
        <v>79</v>
      </c>
      <c r="G257" s="912"/>
      <c r="H257" s="1698"/>
      <c r="I257" s="891">
        <f>SUBTOTAL(103,$J$5:J257)</f>
        <v>253</v>
      </c>
      <c r="J257" s="407" t="s">
        <v>613</v>
      </c>
      <c r="K257" s="892" t="s">
        <v>2</v>
      </c>
    </row>
    <row r="258" spans="1:11" s="136" customFormat="1" ht="18.75" customHeight="1">
      <c r="A258" s="884">
        <v>254</v>
      </c>
      <c r="B258" s="756" t="s">
        <v>615</v>
      </c>
      <c r="C258" s="886" t="s">
        <v>49</v>
      </c>
      <c r="G258" s="912"/>
      <c r="H258" s="1698"/>
      <c r="I258" s="891">
        <f>SUBTOTAL(103,$J$5:J258)</f>
        <v>254</v>
      </c>
      <c r="J258" s="407" t="s">
        <v>614</v>
      </c>
      <c r="K258" s="892" t="s">
        <v>79</v>
      </c>
    </row>
    <row r="259" spans="1:11" s="136" customFormat="1" ht="18.75" customHeight="1">
      <c r="A259" s="884">
        <v>255</v>
      </c>
      <c r="B259" s="756" t="s">
        <v>616</v>
      </c>
      <c r="C259" s="886" t="s">
        <v>170</v>
      </c>
      <c r="G259" s="912"/>
      <c r="H259" s="1698"/>
      <c r="I259" s="891">
        <f>SUBTOTAL(103,$J$5:J259)</f>
        <v>255</v>
      </c>
      <c r="J259" s="407" t="s">
        <v>615</v>
      </c>
      <c r="K259" s="892" t="s">
        <v>49</v>
      </c>
    </row>
    <row r="260" spans="1:11" s="136" customFormat="1" ht="18.75" customHeight="1">
      <c r="A260" s="884">
        <v>256</v>
      </c>
      <c r="B260" s="756" t="s">
        <v>617</v>
      </c>
      <c r="C260" s="886" t="s">
        <v>3</v>
      </c>
      <c r="G260" s="912"/>
      <c r="H260" s="1698"/>
      <c r="I260" s="891">
        <f>SUBTOTAL(103,$J$5:J260)</f>
        <v>256</v>
      </c>
      <c r="J260" s="407" t="s">
        <v>616</v>
      </c>
      <c r="K260" s="892" t="s">
        <v>170</v>
      </c>
    </row>
    <row r="261" spans="1:11" s="136" customFormat="1" ht="18.75" customHeight="1">
      <c r="A261" s="884">
        <v>257</v>
      </c>
      <c r="B261" s="756" t="s">
        <v>618</v>
      </c>
      <c r="C261" s="886" t="s">
        <v>2</v>
      </c>
      <c r="G261" s="912"/>
      <c r="H261" s="1698"/>
      <c r="I261" s="891">
        <f>SUBTOTAL(103,$J$5:J261)</f>
        <v>257</v>
      </c>
      <c r="J261" s="407" t="s">
        <v>617</v>
      </c>
      <c r="K261" s="892" t="s">
        <v>3</v>
      </c>
    </row>
    <row r="262" spans="1:11" s="136" customFormat="1" ht="18.75" customHeight="1">
      <c r="A262" s="884">
        <v>258</v>
      </c>
      <c r="B262" s="756" t="s">
        <v>73</v>
      </c>
      <c r="C262" s="886" t="s">
        <v>184</v>
      </c>
      <c r="G262" s="912"/>
      <c r="H262" s="1698"/>
      <c r="I262" s="891">
        <f>SUBTOTAL(103,$J$5:J262)</f>
        <v>258</v>
      </c>
      <c r="J262" s="407" t="s">
        <v>618</v>
      </c>
      <c r="K262" s="892" t="s">
        <v>2</v>
      </c>
    </row>
    <row r="263" spans="1:11" s="136" customFormat="1" ht="18.75" customHeight="1">
      <c r="A263" s="884">
        <v>259</v>
      </c>
      <c r="B263" s="756" t="s">
        <v>620</v>
      </c>
      <c r="C263" s="886" t="s">
        <v>154</v>
      </c>
      <c r="G263" s="912"/>
      <c r="H263" s="1698"/>
      <c r="I263" s="891">
        <f>SUBTOTAL(103,$J$5:J263)</f>
        <v>259</v>
      </c>
      <c r="J263" s="407" t="s">
        <v>73</v>
      </c>
      <c r="K263" s="892" t="s">
        <v>184</v>
      </c>
    </row>
    <row r="264" spans="1:11" s="136" customFormat="1" ht="18.75" customHeight="1">
      <c r="A264" s="884">
        <v>260</v>
      </c>
      <c r="B264" s="756" t="s">
        <v>621</v>
      </c>
      <c r="C264" s="886" t="s">
        <v>2</v>
      </c>
      <c r="G264" s="912"/>
      <c r="H264" s="1698"/>
      <c r="I264" s="891">
        <f>SUBTOTAL(103,$J$5:J264)</f>
        <v>260</v>
      </c>
      <c r="J264" s="407" t="s">
        <v>620</v>
      </c>
      <c r="K264" s="892" t="s">
        <v>154</v>
      </c>
    </row>
    <row r="265" spans="1:11" s="136" customFormat="1" ht="18.75" customHeight="1">
      <c r="A265" s="884">
        <v>261</v>
      </c>
      <c r="B265" s="756" t="s">
        <v>622</v>
      </c>
      <c r="C265" s="886" t="s">
        <v>170</v>
      </c>
      <c r="G265" s="912"/>
      <c r="H265" s="1698"/>
      <c r="I265" s="891">
        <f>SUBTOTAL(103,$J$5:J265)</f>
        <v>261</v>
      </c>
      <c r="J265" s="407" t="s">
        <v>621</v>
      </c>
      <c r="K265" s="892" t="s">
        <v>2</v>
      </c>
    </row>
    <row r="266" spans="1:11" s="136" customFormat="1" ht="18.75" customHeight="1">
      <c r="A266" s="884">
        <v>262</v>
      </c>
      <c r="B266" s="756" t="s">
        <v>623</v>
      </c>
      <c r="C266" s="886" t="s">
        <v>2</v>
      </c>
      <c r="G266" s="912"/>
      <c r="H266" s="1698"/>
      <c r="I266" s="891">
        <f>SUBTOTAL(103,$J$5:J266)</f>
        <v>262</v>
      </c>
      <c r="J266" s="407" t="s">
        <v>622</v>
      </c>
      <c r="K266" s="892" t="s">
        <v>170</v>
      </c>
    </row>
    <row r="267" spans="1:11" s="136" customFormat="1" ht="18.75" customHeight="1">
      <c r="A267" s="884">
        <v>263</v>
      </c>
      <c r="B267" s="756" t="s">
        <v>624</v>
      </c>
      <c r="C267" s="886" t="s">
        <v>170</v>
      </c>
      <c r="G267" s="912"/>
      <c r="H267" s="1698"/>
      <c r="I267" s="891">
        <f>SUBTOTAL(103,$J$5:J267)</f>
        <v>263</v>
      </c>
      <c r="J267" s="407" t="s">
        <v>623</v>
      </c>
      <c r="K267" s="892" t="s">
        <v>2</v>
      </c>
    </row>
    <row r="268" spans="1:11" s="136" customFormat="1" ht="18.75" customHeight="1">
      <c r="A268" s="884">
        <v>264</v>
      </c>
      <c r="B268" s="756" t="s">
        <v>625</v>
      </c>
      <c r="C268" s="886" t="s">
        <v>170</v>
      </c>
      <c r="G268" s="912"/>
      <c r="H268" s="1698"/>
      <c r="I268" s="891">
        <f>SUBTOTAL(103,$J$5:J268)</f>
        <v>264</v>
      </c>
      <c r="J268" s="407" t="s">
        <v>624</v>
      </c>
      <c r="K268" s="892" t="s">
        <v>170</v>
      </c>
    </row>
    <row r="269" spans="1:11" s="136" customFormat="1" ht="18.75" customHeight="1">
      <c r="A269" s="884">
        <v>265</v>
      </c>
      <c r="B269" s="756" t="s">
        <v>626</v>
      </c>
      <c r="C269" s="886" t="s">
        <v>2</v>
      </c>
      <c r="G269" s="912"/>
      <c r="H269" s="1698"/>
      <c r="I269" s="891">
        <f>SUBTOTAL(103,$J$5:J269)</f>
        <v>265</v>
      </c>
      <c r="J269" s="407" t="s">
        <v>625</v>
      </c>
      <c r="K269" s="892" t="s">
        <v>170</v>
      </c>
    </row>
    <row r="270" spans="1:11" s="136" customFormat="1" ht="18.75" customHeight="1">
      <c r="A270" s="884">
        <v>266</v>
      </c>
      <c r="B270" s="756" t="s">
        <v>627</v>
      </c>
      <c r="C270" s="886" t="s">
        <v>170</v>
      </c>
      <c r="G270" s="912"/>
      <c r="H270" s="1698"/>
      <c r="I270" s="891">
        <f>SUBTOTAL(103,$J$5:J270)</f>
        <v>266</v>
      </c>
      <c r="J270" s="407" t="s">
        <v>626</v>
      </c>
      <c r="K270" s="892" t="s">
        <v>2</v>
      </c>
    </row>
    <row r="271" spans="1:11" s="136" customFormat="1" ht="18.75" customHeight="1">
      <c r="A271" s="884">
        <v>267</v>
      </c>
      <c r="B271" s="756" t="s">
        <v>628</v>
      </c>
      <c r="C271" s="886" t="s">
        <v>79</v>
      </c>
      <c r="G271" s="912"/>
      <c r="H271" s="1698"/>
      <c r="I271" s="891">
        <f>SUBTOTAL(103,$J$5:J271)</f>
        <v>267</v>
      </c>
      <c r="J271" s="407" t="s">
        <v>627</v>
      </c>
      <c r="K271" s="892" t="s">
        <v>170</v>
      </c>
    </row>
    <row r="272" spans="1:11" s="136" customFormat="1" ht="18.75" customHeight="1">
      <c r="A272" s="884">
        <v>268</v>
      </c>
      <c r="B272" s="756" t="s">
        <v>629</v>
      </c>
      <c r="C272" s="886" t="s">
        <v>2</v>
      </c>
      <c r="G272" s="912"/>
      <c r="H272" s="1698"/>
      <c r="I272" s="891">
        <f>SUBTOTAL(103,$J$5:J272)</f>
        <v>268</v>
      </c>
      <c r="J272" s="407" t="s">
        <v>628</v>
      </c>
      <c r="K272" s="892" t="s">
        <v>79</v>
      </c>
    </row>
    <row r="273" spans="1:11" s="136" customFormat="1" ht="18.75" customHeight="1">
      <c r="A273" s="884">
        <v>269</v>
      </c>
      <c r="B273" s="756" t="s">
        <v>630</v>
      </c>
      <c r="C273" s="886" t="s">
        <v>79</v>
      </c>
      <c r="G273" s="912"/>
      <c r="H273" s="1698"/>
      <c r="I273" s="891">
        <f>SUBTOTAL(103,$J$5:J273)</f>
        <v>269</v>
      </c>
      <c r="J273" s="407" t="s">
        <v>629</v>
      </c>
      <c r="K273" s="892" t="s">
        <v>2</v>
      </c>
    </row>
    <row r="274" spans="1:11" s="136" customFormat="1" ht="18.75" customHeight="1">
      <c r="A274" s="884">
        <v>270</v>
      </c>
      <c r="B274" s="756" t="s">
        <v>74</v>
      </c>
      <c r="C274" s="886" t="s">
        <v>227</v>
      </c>
      <c r="G274" s="912"/>
      <c r="H274" s="1698"/>
      <c r="I274" s="891">
        <f>SUBTOTAL(103,$J$5:J274)</f>
        <v>270</v>
      </c>
      <c r="J274" s="407" t="s">
        <v>630</v>
      </c>
      <c r="K274" s="892" t="s">
        <v>79</v>
      </c>
    </row>
    <row r="275" spans="1:11" s="136" customFormat="1" ht="18.75" customHeight="1">
      <c r="A275" s="884">
        <v>271</v>
      </c>
      <c r="B275" s="756" t="s">
        <v>206</v>
      </c>
      <c r="C275" s="886" t="s">
        <v>49</v>
      </c>
      <c r="G275" s="912"/>
      <c r="H275" s="1698"/>
      <c r="I275" s="891">
        <f>SUBTOTAL(103,$J$5:J275)</f>
        <v>271</v>
      </c>
      <c r="J275" s="407" t="s">
        <v>74</v>
      </c>
      <c r="K275" s="892" t="s">
        <v>227</v>
      </c>
    </row>
    <row r="276" spans="1:11" s="136" customFormat="1" ht="18.75" customHeight="1">
      <c r="A276" s="884">
        <v>272</v>
      </c>
      <c r="B276" s="756" t="s">
        <v>207</v>
      </c>
      <c r="C276" s="886" t="s">
        <v>79</v>
      </c>
      <c r="G276" s="912"/>
      <c r="H276" s="1698"/>
      <c r="I276" s="891">
        <f>SUBTOTAL(103,$J$5:J276)</f>
        <v>272</v>
      </c>
      <c r="J276" s="407" t="s">
        <v>206</v>
      </c>
      <c r="K276" s="892" t="s">
        <v>49</v>
      </c>
    </row>
    <row r="277" spans="1:11" s="136" customFormat="1" ht="18.75" customHeight="1">
      <c r="A277" s="884">
        <v>273</v>
      </c>
      <c r="B277" s="756" t="s">
        <v>5</v>
      </c>
      <c r="C277" s="886" t="s">
        <v>2</v>
      </c>
      <c r="G277" s="912"/>
      <c r="H277" s="1698"/>
      <c r="I277" s="891">
        <f>SUBTOTAL(103,$J$5:J277)</f>
        <v>273</v>
      </c>
      <c r="J277" s="407" t="s">
        <v>207</v>
      </c>
      <c r="K277" s="892" t="s">
        <v>79</v>
      </c>
    </row>
    <row r="278" spans="1:11" s="136" customFormat="1" ht="18.75" customHeight="1">
      <c r="A278" s="884">
        <v>274</v>
      </c>
      <c r="B278" s="756" t="s">
        <v>6</v>
      </c>
      <c r="C278" s="886" t="s">
        <v>79</v>
      </c>
      <c r="G278" s="912"/>
      <c r="H278" s="1698"/>
      <c r="I278" s="891">
        <f>SUBTOTAL(103,$J$5:J278)</f>
        <v>274</v>
      </c>
      <c r="J278" s="407" t="s">
        <v>5</v>
      </c>
      <c r="K278" s="892" t="s">
        <v>2</v>
      </c>
    </row>
    <row r="279" spans="1:11" s="136" customFormat="1" ht="18.75" customHeight="1">
      <c r="A279" s="884">
        <v>275</v>
      </c>
      <c r="B279" s="756" t="s">
        <v>632</v>
      </c>
      <c r="C279" s="886" t="s">
        <v>49</v>
      </c>
      <c r="G279" s="912"/>
      <c r="H279" s="1698"/>
      <c r="I279" s="891">
        <f>SUBTOTAL(103,$J$5:J279)</f>
        <v>275</v>
      </c>
      <c r="J279" s="407" t="s">
        <v>6</v>
      </c>
      <c r="K279" s="892" t="s">
        <v>79</v>
      </c>
    </row>
    <row r="280" spans="1:11" s="136" customFormat="1" ht="18.75" customHeight="1">
      <c r="A280" s="884">
        <v>276</v>
      </c>
      <c r="B280" s="756" t="s">
        <v>633</v>
      </c>
      <c r="C280" s="886" t="s">
        <v>49</v>
      </c>
      <c r="G280" s="912"/>
      <c r="H280" s="1698"/>
      <c r="I280" s="891">
        <f>SUBTOTAL(103,$J$5:J280)</f>
        <v>276</v>
      </c>
      <c r="J280" s="407" t="s">
        <v>632</v>
      </c>
      <c r="K280" s="892" t="s">
        <v>49</v>
      </c>
    </row>
    <row r="281" spans="1:11" s="136" customFormat="1" ht="18.75" customHeight="1">
      <c r="A281" s="884">
        <v>277</v>
      </c>
      <c r="B281" s="756" t="s">
        <v>634</v>
      </c>
      <c r="C281" s="886" t="s">
        <v>2</v>
      </c>
      <c r="G281" s="912"/>
      <c r="H281" s="1698"/>
      <c r="I281" s="891">
        <f>SUBTOTAL(103,$J$5:J281)</f>
        <v>277</v>
      </c>
      <c r="J281" s="407" t="s">
        <v>633</v>
      </c>
      <c r="K281" s="892" t="s">
        <v>49</v>
      </c>
    </row>
    <row r="282" spans="1:11" s="136" customFormat="1" ht="18.75" customHeight="1">
      <c r="A282" s="884">
        <v>278</v>
      </c>
      <c r="B282" s="756" t="s">
        <v>635</v>
      </c>
      <c r="C282" s="886" t="s">
        <v>154</v>
      </c>
      <c r="G282" s="912"/>
      <c r="H282" s="1698"/>
      <c r="I282" s="891">
        <f>SUBTOTAL(103,$J$5:J282)</f>
        <v>278</v>
      </c>
      <c r="J282" s="407" t="s">
        <v>634</v>
      </c>
      <c r="K282" s="892" t="s">
        <v>2</v>
      </c>
    </row>
    <row r="283" spans="1:11" s="136" customFormat="1" ht="18.75" customHeight="1">
      <c r="A283" s="884">
        <v>279</v>
      </c>
      <c r="B283" s="756" t="s">
        <v>636</v>
      </c>
      <c r="C283" s="886" t="s">
        <v>49</v>
      </c>
      <c r="G283" s="912"/>
      <c r="H283" s="1698"/>
      <c r="I283" s="891">
        <f>SUBTOTAL(103,$J$5:J283)</f>
        <v>279</v>
      </c>
      <c r="J283" s="407" t="s">
        <v>635</v>
      </c>
      <c r="K283" s="892" t="s">
        <v>154</v>
      </c>
    </row>
    <row r="284" spans="1:11" s="136" customFormat="1" ht="18.75" customHeight="1">
      <c r="A284" s="884">
        <v>280</v>
      </c>
      <c r="B284" s="756" t="s">
        <v>637</v>
      </c>
      <c r="C284" s="886" t="s">
        <v>2</v>
      </c>
      <c r="G284" s="912"/>
      <c r="H284" s="1698"/>
      <c r="I284" s="891">
        <f>SUBTOTAL(103,$J$5:J284)</f>
        <v>280</v>
      </c>
      <c r="J284" s="407" t="s">
        <v>636</v>
      </c>
      <c r="K284" s="892" t="s">
        <v>49</v>
      </c>
    </row>
    <row r="285" spans="1:11" s="136" customFormat="1" ht="18.75" customHeight="1">
      <c r="A285" s="884">
        <v>281</v>
      </c>
      <c r="B285" s="756" t="s">
        <v>638</v>
      </c>
      <c r="C285" s="886" t="s">
        <v>49</v>
      </c>
      <c r="G285" s="912"/>
      <c r="H285" s="1698"/>
      <c r="I285" s="891">
        <f>SUBTOTAL(103,$J$5:J285)</f>
        <v>281</v>
      </c>
      <c r="J285" s="407" t="s">
        <v>637</v>
      </c>
      <c r="K285" s="892" t="s">
        <v>2</v>
      </c>
    </row>
    <row r="286" spans="1:11" s="136" customFormat="1" ht="18.75" customHeight="1">
      <c r="A286" s="884">
        <v>282</v>
      </c>
      <c r="B286" s="756" t="s">
        <v>640</v>
      </c>
      <c r="C286" s="886" t="s">
        <v>211</v>
      </c>
      <c r="G286" s="912"/>
      <c r="H286" s="1698"/>
      <c r="I286" s="891">
        <f>SUBTOTAL(103,$J$5:J286)</f>
        <v>282</v>
      </c>
      <c r="J286" s="407" t="s">
        <v>638</v>
      </c>
      <c r="K286" s="892" t="s">
        <v>49</v>
      </c>
    </row>
    <row r="287" spans="1:11" s="653" customFormat="1" ht="18.75" customHeight="1">
      <c r="A287" s="884">
        <v>283</v>
      </c>
      <c r="B287" s="756" t="s">
        <v>75</v>
      </c>
      <c r="C287" s="886" t="s">
        <v>211</v>
      </c>
      <c r="G287" s="913"/>
      <c r="H287" s="1698"/>
      <c r="I287" s="891">
        <f>SUBTOTAL(103,$J$5:J287)</f>
        <v>283</v>
      </c>
      <c r="J287" s="407" t="s">
        <v>640</v>
      </c>
      <c r="K287" s="892" t="s">
        <v>211</v>
      </c>
    </row>
    <row r="288" spans="1:11" s="136" customFormat="1" ht="18.75" customHeight="1">
      <c r="A288" s="884">
        <v>284</v>
      </c>
      <c r="B288" s="756" t="s">
        <v>76</v>
      </c>
      <c r="C288" s="886" t="s">
        <v>49</v>
      </c>
      <c r="G288" s="912"/>
      <c r="H288" s="1698"/>
      <c r="I288" s="891">
        <f>SUBTOTAL(103,$J$5:J288)</f>
        <v>284</v>
      </c>
      <c r="J288" s="407" t="s">
        <v>75</v>
      </c>
      <c r="K288" s="892" t="s">
        <v>211</v>
      </c>
    </row>
    <row r="289" spans="1:12" s="136" customFormat="1" ht="18.75" customHeight="1">
      <c r="A289" s="884">
        <v>285</v>
      </c>
      <c r="B289" s="756" t="s">
        <v>77</v>
      </c>
      <c r="C289" s="886" t="s">
        <v>184</v>
      </c>
      <c r="G289" s="912"/>
      <c r="H289" s="1698"/>
      <c r="I289" s="891">
        <f>SUBTOTAL(103,$J$5:J289)</f>
        <v>285</v>
      </c>
      <c r="J289" s="407" t="s">
        <v>76</v>
      </c>
      <c r="K289" s="892" t="s">
        <v>49</v>
      </c>
    </row>
    <row r="290" spans="1:12" s="136" customFormat="1" ht="18.75" customHeight="1">
      <c r="A290" s="884">
        <v>286</v>
      </c>
      <c r="B290" s="756" t="s">
        <v>171</v>
      </c>
      <c r="C290" s="886" t="s">
        <v>2</v>
      </c>
      <c r="G290" s="912"/>
      <c r="H290" s="1698"/>
      <c r="I290" s="891">
        <f>SUBTOTAL(103,$J$5:J290)</f>
        <v>286</v>
      </c>
      <c r="J290" s="407" t="s">
        <v>77</v>
      </c>
      <c r="K290" s="892" t="s">
        <v>184</v>
      </c>
    </row>
    <row r="291" spans="1:12" s="136" customFormat="1" ht="18.75" customHeight="1">
      <c r="A291" s="884">
        <v>287</v>
      </c>
      <c r="B291" s="756" t="s">
        <v>172</v>
      </c>
      <c r="C291" s="886" t="s">
        <v>49</v>
      </c>
      <c r="G291" s="912"/>
      <c r="H291" s="1698"/>
      <c r="I291" s="891">
        <f>SUBTOTAL(103,$J$5:J291)</f>
        <v>287</v>
      </c>
      <c r="J291" s="407" t="s">
        <v>171</v>
      </c>
      <c r="K291" s="892" t="s">
        <v>2</v>
      </c>
    </row>
    <row r="292" spans="1:12" s="136" customFormat="1" ht="18.75" customHeight="1">
      <c r="A292" s="884">
        <v>288</v>
      </c>
      <c r="B292" s="756" t="s">
        <v>169</v>
      </c>
      <c r="C292" s="886" t="s">
        <v>211</v>
      </c>
      <c r="G292" s="912"/>
      <c r="H292" s="1698"/>
      <c r="I292" s="891">
        <f>SUBTOTAL(103,$J$5:J292)</f>
        <v>288</v>
      </c>
      <c r="J292" s="407" t="s">
        <v>172</v>
      </c>
      <c r="K292" s="892" t="s">
        <v>49</v>
      </c>
    </row>
    <row r="293" spans="1:12" s="136" customFormat="1" ht="18.75" customHeight="1">
      <c r="A293" s="884">
        <v>289</v>
      </c>
      <c r="B293" s="756" t="s">
        <v>78</v>
      </c>
      <c r="C293" s="886" t="s">
        <v>197</v>
      </c>
      <c r="G293" s="912"/>
      <c r="H293" s="1698"/>
      <c r="I293" s="891">
        <f>SUBTOTAL(103,$J$5:J293)</f>
        <v>289</v>
      </c>
      <c r="J293" s="407" t="s">
        <v>1790</v>
      </c>
      <c r="K293" s="892" t="s">
        <v>211</v>
      </c>
    </row>
    <row r="294" spans="1:12" s="136" customFormat="1" ht="18.75" customHeight="1">
      <c r="A294" s="884">
        <v>290</v>
      </c>
      <c r="B294" s="756" t="s">
        <v>644</v>
      </c>
      <c r="C294" s="886" t="s">
        <v>154</v>
      </c>
      <c r="G294" s="912"/>
      <c r="H294" s="1698"/>
      <c r="I294" s="891">
        <f>SUBTOTAL(103,$J$5:J294)</f>
        <v>290</v>
      </c>
      <c r="J294" s="407" t="s">
        <v>78</v>
      </c>
      <c r="K294" s="892" t="s">
        <v>197</v>
      </c>
    </row>
    <row r="295" spans="1:12" s="136" customFormat="1" ht="18.75" customHeight="1">
      <c r="A295" s="884">
        <v>291</v>
      </c>
      <c r="B295" s="756" t="s">
        <v>645</v>
      </c>
      <c r="C295" s="886" t="s">
        <v>79</v>
      </c>
      <c r="G295" s="912"/>
      <c r="H295" s="1698"/>
      <c r="I295" s="891">
        <f>SUBTOTAL(103,$J$5:J295)</f>
        <v>291</v>
      </c>
      <c r="J295" s="407" t="s">
        <v>644</v>
      </c>
      <c r="K295" s="892" t="s">
        <v>154</v>
      </c>
    </row>
    <row r="296" spans="1:12" s="136" customFormat="1" ht="18.75" customHeight="1">
      <c r="A296" s="884">
        <v>292</v>
      </c>
      <c r="B296" s="756" t="s">
        <v>646</v>
      </c>
      <c r="C296" s="886" t="s">
        <v>154</v>
      </c>
      <c r="G296" s="912"/>
      <c r="H296" s="1698"/>
      <c r="I296" s="891">
        <f>SUBTOTAL(103,$J$5:J296)</f>
        <v>292</v>
      </c>
      <c r="J296" s="407" t="s">
        <v>645</v>
      </c>
      <c r="K296" s="892" t="s">
        <v>79</v>
      </c>
    </row>
    <row r="297" spans="1:12" s="653" customFormat="1" ht="18.75" customHeight="1">
      <c r="A297" s="884">
        <v>293</v>
      </c>
      <c r="B297" s="756" t="s">
        <v>647</v>
      </c>
      <c r="C297" s="886" t="s">
        <v>3</v>
      </c>
      <c r="G297" s="913"/>
      <c r="H297" s="1698"/>
      <c r="I297" s="891">
        <f>SUBTOTAL(103,$J$5:J297)</f>
        <v>293</v>
      </c>
      <c r="J297" s="407" t="s">
        <v>646</v>
      </c>
      <c r="K297" s="892" t="s">
        <v>154</v>
      </c>
    </row>
    <row r="298" spans="1:12" s="136" customFormat="1" ht="18.75" customHeight="1">
      <c r="A298" s="884">
        <v>294</v>
      </c>
      <c r="B298" s="878" t="s">
        <v>648</v>
      </c>
      <c r="C298" s="888" t="s">
        <v>173</v>
      </c>
      <c r="G298" s="912"/>
      <c r="H298" s="1698"/>
      <c r="I298" s="891">
        <f>SUBTOTAL(103,$J$5:J298)</f>
        <v>294</v>
      </c>
      <c r="J298" s="407" t="s">
        <v>647</v>
      </c>
      <c r="K298" s="892" t="s">
        <v>3</v>
      </c>
    </row>
    <row r="299" spans="1:12" s="136" customFormat="1" ht="18.75" customHeight="1">
      <c r="A299" s="884">
        <v>295</v>
      </c>
      <c r="B299" s="756" t="s">
        <v>649</v>
      </c>
      <c r="C299" s="886" t="s">
        <v>2</v>
      </c>
      <c r="G299" s="912"/>
      <c r="H299" s="1698"/>
      <c r="I299" s="891">
        <f>SUBTOTAL(103,$J$5:J299)</f>
        <v>295</v>
      </c>
      <c r="J299" s="407" t="s">
        <v>1791</v>
      </c>
      <c r="K299" s="892" t="s">
        <v>173</v>
      </c>
      <c r="L299" s="136" t="s">
        <v>1227</v>
      </c>
    </row>
    <row r="300" spans="1:12" s="136" customFormat="1" ht="18.75" customHeight="1">
      <c r="A300" s="884">
        <v>296</v>
      </c>
      <c r="B300" s="756" t="s">
        <v>650</v>
      </c>
      <c r="C300" s="886" t="s">
        <v>3</v>
      </c>
      <c r="G300" s="912"/>
      <c r="H300" s="1698"/>
      <c r="I300" s="891">
        <f>SUBTOTAL(103,$J$5:J300)</f>
        <v>296</v>
      </c>
      <c r="J300" s="407" t="s">
        <v>649</v>
      </c>
      <c r="K300" s="892" t="s">
        <v>2</v>
      </c>
    </row>
    <row r="301" spans="1:12" s="136" customFormat="1" ht="18.75" customHeight="1">
      <c r="A301" s="884">
        <v>297</v>
      </c>
      <c r="B301" s="756" t="s">
        <v>651</v>
      </c>
      <c r="C301" s="886" t="s">
        <v>49</v>
      </c>
      <c r="G301" s="912"/>
      <c r="H301" s="1698"/>
      <c r="I301" s="891">
        <f>SUBTOTAL(103,$J$5:J301)</f>
        <v>297</v>
      </c>
      <c r="J301" s="407" t="s">
        <v>650</v>
      </c>
      <c r="K301" s="892" t="s">
        <v>3</v>
      </c>
    </row>
    <row r="302" spans="1:12" s="136" customFormat="1" ht="18.75" customHeight="1" thickBot="1">
      <c r="A302" s="884">
        <v>298</v>
      </c>
      <c r="B302" s="889" t="s">
        <v>7</v>
      </c>
      <c r="C302" s="890" t="s">
        <v>227</v>
      </c>
      <c r="G302" s="912"/>
      <c r="H302" s="1698"/>
      <c r="I302" s="891">
        <f>SUBTOTAL(103,$J$5:J302)</f>
        <v>298</v>
      </c>
      <c r="J302" s="407" t="s">
        <v>651</v>
      </c>
      <c r="K302" s="892" t="s">
        <v>49</v>
      </c>
    </row>
    <row r="303" spans="1:12" s="136" customFormat="1" ht="18.75" customHeight="1">
      <c r="A303" s="875"/>
      <c r="G303" s="912"/>
      <c r="H303" s="1698"/>
      <c r="I303" s="891">
        <f>SUBTOTAL(103,$J$5:J303)</f>
        <v>299</v>
      </c>
      <c r="J303" s="407" t="s">
        <v>7</v>
      </c>
      <c r="K303" s="892" t="s">
        <v>227</v>
      </c>
    </row>
    <row r="304" spans="1:12" s="135" customFormat="1" ht="18.75" customHeight="1">
      <c r="A304" s="919"/>
      <c r="G304" s="914"/>
      <c r="H304" s="1698"/>
      <c r="I304" s="896">
        <f>SUBTOTAL(103,$J$5:J304)</f>
        <v>300</v>
      </c>
      <c r="J304" s="407" t="s">
        <v>1240</v>
      </c>
      <c r="K304" s="892" t="s">
        <v>2</v>
      </c>
    </row>
    <row r="305" spans="1:12" s="135" customFormat="1" ht="18.75" customHeight="1">
      <c r="A305" s="919"/>
      <c r="G305" s="914"/>
      <c r="H305" s="1698"/>
      <c r="I305" s="896">
        <f>SUBTOTAL(103,$J$5:J305)</f>
        <v>301</v>
      </c>
      <c r="J305" s="407" t="s">
        <v>1242</v>
      </c>
      <c r="K305" s="892" t="s">
        <v>2</v>
      </c>
    </row>
    <row r="306" spans="1:12" s="135" customFormat="1" ht="18.75" customHeight="1">
      <c r="A306" s="919"/>
      <c r="G306" s="914"/>
      <c r="H306" s="1698"/>
      <c r="I306" s="896">
        <f>SUBTOTAL(103,$J$5:J306)</f>
        <v>302</v>
      </c>
      <c r="J306" s="407" t="s">
        <v>1243</v>
      </c>
      <c r="K306" s="892" t="s">
        <v>2</v>
      </c>
    </row>
    <row r="307" spans="1:12" s="135" customFormat="1" ht="18.75" customHeight="1">
      <c r="A307" s="919"/>
      <c r="G307" s="914"/>
      <c r="H307" s="1698"/>
      <c r="I307" s="896">
        <f>SUBTOTAL(103,$J$5:J307)</f>
        <v>303</v>
      </c>
      <c r="J307" s="407" t="s">
        <v>1244</v>
      </c>
      <c r="K307" s="892" t="s">
        <v>3</v>
      </c>
    </row>
    <row r="308" spans="1:12" s="135" customFormat="1" ht="18.75" customHeight="1">
      <c r="A308" s="919"/>
      <c r="G308" s="914"/>
      <c r="H308" s="1698"/>
      <c r="I308" s="896">
        <f>SUBTOTAL(103,$J$5:J308)</f>
        <v>304</v>
      </c>
      <c r="J308" s="407" t="s">
        <v>1245</v>
      </c>
      <c r="K308" s="892" t="s">
        <v>3</v>
      </c>
    </row>
    <row r="309" spans="1:12" s="135" customFormat="1" ht="18.75" customHeight="1">
      <c r="A309" s="919"/>
      <c r="G309" s="914"/>
      <c r="H309" s="1698"/>
      <c r="I309" s="896">
        <f>SUBTOTAL(103,$J$5:J309)</f>
        <v>305</v>
      </c>
      <c r="J309" s="407" t="s">
        <v>1246</v>
      </c>
      <c r="K309" s="892" t="s">
        <v>211</v>
      </c>
    </row>
    <row r="310" spans="1:12" s="135" customFormat="1" ht="18.75" customHeight="1" thickBot="1">
      <c r="A310" s="920"/>
      <c r="B310" s="915"/>
      <c r="C310" s="915"/>
      <c r="D310" s="915"/>
      <c r="E310" s="915"/>
      <c r="F310" s="915"/>
      <c r="G310" s="916"/>
      <c r="H310" s="1699"/>
      <c r="I310" s="897">
        <f>SUBTOTAL(103,$J$5:J310)</f>
        <v>306</v>
      </c>
      <c r="J310" s="898" t="s">
        <v>1247</v>
      </c>
      <c r="K310" s="899" t="s">
        <v>403</v>
      </c>
      <c r="L310" s="915"/>
    </row>
    <row r="312" spans="1:12">
      <c r="J312" s="868"/>
    </row>
    <row r="313" spans="1:12">
      <c r="J313" s="868"/>
    </row>
    <row r="314" spans="1:12">
      <c r="J314" s="868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719" t="s">
        <v>1025</v>
      </c>
      <c r="B1" s="1719"/>
      <c r="C1" s="1719"/>
      <c r="D1" s="1719"/>
      <c r="E1" s="1719"/>
      <c r="F1" s="1719"/>
      <c r="G1" s="1719"/>
      <c r="H1" s="1719"/>
      <c r="I1" s="1719"/>
    </row>
    <row r="2" spans="1:12" ht="18" customHeight="1">
      <c r="A2" s="1719" t="s">
        <v>1026</v>
      </c>
      <c r="B2" s="1719"/>
      <c r="C2" s="1719"/>
      <c r="D2" s="1719"/>
      <c r="E2" s="1719"/>
      <c r="F2" s="1719"/>
      <c r="G2" s="1719"/>
      <c r="H2" s="1719"/>
      <c r="I2" s="1719"/>
    </row>
    <row r="3" spans="1:12" ht="18" customHeight="1">
      <c r="A3" s="1719" t="s">
        <v>1027</v>
      </c>
      <c r="B3" s="1719"/>
      <c r="C3" s="1719"/>
      <c r="D3" s="1719"/>
      <c r="E3" s="1719"/>
      <c r="F3" s="1719"/>
      <c r="G3" s="1719"/>
      <c r="H3" s="1719"/>
      <c r="I3" s="1719"/>
    </row>
    <row r="4" spans="1:12" ht="20.25" customHeight="1">
      <c r="A4" s="1720" t="s">
        <v>1028</v>
      </c>
      <c r="B4" s="1720"/>
      <c r="C4" s="1720"/>
      <c r="D4" s="1720"/>
      <c r="E4" s="1720"/>
      <c r="F4" s="1720"/>
      <c r="G4" s="1720"/>
      <c r="H4" s="1720"/>
      <c r="I4" s="1720"/>
    </row>
    <row r="5" spans="1:12" ht="30" customHeight="1">
      <c r="A5" s="530" t="s">
        <v>1029</v>
      </c>
      <c r="B5" s="1721" t="s">
        <v>1030</v>
      </c>
      <c r="C5" s="1722"/>
      <c r="D5" s="1723"/>
      <c r="E5" s="531" t="s">
        <v>1031</v>
      </c>
      <c r="F5" s="531" t="s">
        <v>1032</v>
      </c>
      <c r="G5" s="530" t="s">
        <v>92</v>
      </c>
      <c r="H5" s="530" t="s">
        <v>1033</v>
      </c>
      <c r="I5" s="530" t="s">
        <v>1</v>
      </c>
    </row>
    <row r="6" spans="1:12" ht="18.5">
      <c r="A6" s="1724" t="s">
        <v>1034</v>
      </c>
      <c r="B6" s="1724"/>
      <c r="C6" s="1724"/>
      <c r="D6" s="1724"/>
      <c r="E6" s="1724"/>
      <c r="F6" s="1724"/>
      <c r="G6" s="1724"/>
      <c r="H6" s="1724"/>
      <c r="I6" s="1724"/>
    </row>
    <row r="7" spans="1:12" ht="64.5" customHeight="1">
      <c r="A7" s="643">
        <v>1</v>
      </c>
      <c r="B7" s="644" t="s">
        <v>549</v>
      </c>
      <c r="C7" s="643" t="s">
        <v>550</v>
      </c>
      <c r="D7" s="645" t="s">
        <v>943</v>
      </c>
      <c r="E7" s="643" t="s">
        <v>349</v>
      </c>
      <c r="F7" s="643" t="s">
        <v>1035</v>
      </c>
      <c r="G7" s="645" t="s">
        <v>1099</v>
      </c>
      <c r="H7" s="646"/>
      <c r="I7" s="646" t="s">
        <v>1208</v>
      </c>
    </row>
    <row r="8" spans="1:12" ht="58">
      <c r="A8" s="643">
        <v>2</v>
      </c>
      <c r="B8" s="644" t="s">
        <v>551</v>
      </c>
      <c r="C8" s="643" t="s">
        <v>552</v>
      </c>
      <c r="D8" s="645" t="s">
        <v>351</v>
      </c>
      <c r="E8" s="643" t="s">
        <v>1104</v>
      </c>
      <c r="F8" s="643" t="s">
        <v>1035</v>
      </c>
      <c r="G8" s="645" t="s">
        <v>1099</v>
      </c>
      <c r="H8" s="646"/>
      <c r="I8" s="645" t="s">
        <v>1554</v>
      </c>
      <c r="L8" s="619"/>
    </row>
    <row r="9" spans="1:12" ht="68.25" customHeight="1">
      <c r="A9" s="643">
        <v>3</v>
      </c>
      <c r="B9" s="644" t="s">
        <v>559</v>
      </c>
      <c r="C9" s="643" t="s">
        <v>560</v>
      </c>
      <c r="D9" s="645" t="s">
        <v>945</v>
      </c>
      <c r="E9" s="643" t="s">
        <v>349</v>
      </c>
      <c r="F9" s="643" t="s">
        <v>1035</v>
      </c>
      <c r="G9" s="645" t="s">
        <v>1099</v>
      </c>
      <c r="H9" s="646"/>
      <c r="I9" s="646" t="s">
        <v>1207</v>
      </c>
    </row>
    <row r="10" spans="1:12" ht="66" customHeight="1">
      <c r="A10" s="643">
        <v>4</v>
      </c>
      <c r="B10" s="644" t="s">
        <v>561</v>
      </c>
      <c r="C10" s="643" t="s">
        <v>562</v>
      </c>
      <c r="D10" s="645" t="s">
        <v>944</v>
      </c>
      <c r="E10" s="643" t="s">
        <v>349</v>
      </c>
      <c r="F10" s="643" t="s">
        <v>1035</v>
      </c>
      <c r="G10" s="645" t="s">
        <v>1099</v>
      </c>
      <c r="H10" s="646"/>
      <c r="I10" s="646" t="s">
        <v>1207</v>
      </c>
    </row>
    <row r="11" spans="1:12" ht="66" customHeight="1">
      <c r="A11" s="643">
        <v>5</v>
      </c>
      <c r="B11" s="644" t="s">
        <v>563</v>
      </c>
      <c r="C11" s="643" t="s">
        <v>564</v>
      </c>
      <c r="D11" s="645" t="s">
        <v>361</v>
      </c>
      <c r="E11" s="643" t="s">
        <v>161</v>
      </c>
      <c r="F11" s="643" t="s">
        <v>1035</v>
      </c>
      <c r="G11" s="645" t="s">
        <v>1099</v>
      </c>
      <c r="H11" s="646"/>
      <c r="I11" s="646" t="s">
        <v>1555</v>
      </c>
    </row>
    <row r="12" spans="1:12" ht="66" customHeight="1">
      <c r="A12" s="643">
        <v>6</v>
      </c>
      <c r="B12" s="644" t="s">
        <v>1270</v>
      </c>
      <c r="C12" s="643" t="s">
        <v>1271</v>
      </c>
      <c r="D12" s="645" t="s">
        <v>1370</v>
      </c>
      <c r="E12" s="643" t="s">
        <v>349</v>
      </c>
      <c r="F12" s="643" t="s">
        <v>1371</v>
      </c>
      <c r="G12" s="645" t="s">
        <v>1372</v>
      </c>
      <c r="H12" s="646"/>
      <c r="I12" s="646" t="s">
        <v>1423</v>
      </c>
    </row>
    <row r="13" spans="1:12" ht="19.5" customHeight="1">
      <c r="A13" s="1725"/>
      <c r="B13" s="1726"/>
      <c r="C13" s="1726"/>
      <c r="D13" s="1726"/>
      <c r="E13" s="1726"/>
      <c r="F13" s="1726"/>
      <c r="G13" s="1726"/>
      <c r="H13" s="1726"/>
      <c r="I13" s="1727"/>
    </row>
    <row r="14" spans="1:12" ht="19.5" customHeight="1">
      <c r="A14" s="1728" t="s">
        <v>1036</v>
      </c>
      <c r="B14" s="1729"/>
      <c r="C14" s="1729"/>
      <c r="D14" s="1729"/>
      <c r="E14" s="1729"/>
      <c r="F14" s="1729"/>
      <c r="G14" s="1729"/>
      <c r="H14" s="1729"/>
      <c r="I14" s="1730"/>
    </row>
    <row r="15" spans="1:12" ht="66.75" customHeight="1">
      <c r="A15" s="532">
        <v>1</v>
      </c>
      <c r="B15" s="40" t="s">
        <v>556</v>
      </c>
      <c r="C15" s="532" t="s">
        <v>557</v>
      </c>
      <c r="D15" s="533" t="s">
        <v>1037</v>
      </c>
      <c r="E15" s="532" t="s">
        <v>1038</v>
      </c>
      <c r="F15" s="532" t="s">
        <v>1039</v>
      </c>
      <c r="G15" s="533" t="s">
        <v>1470</v>
      </c>
      <c r="H15" s="534"/>
      <c r="I15" s="534" t="s">
        <v>1465</v>
      </c>
    </row>
    <row r="16" spans="1:12" ht="19.5" customHeight="1">
      <c r="A16" s="1725"/>
      <c r="B16" s="1726"/>
      <c r="C16" s="1726"/>
      <c r="D16" s="1726"/>
      <c r="E16" s="1726"/>
      <c r="F16" s="1726"/>
      <c r="G16" s="1726"/>
      <c r="H16" s="1726"/>
      <c r="I16" s="1727"/>
    </row>
    <row r="17" spans="1:9" ht="19.5" customHeight="1">
      <c r="A17" s="1728" t="s">
        <v>1040</v>
      </c>
      <c r="B17" s="1729"/>
      <c r="C17" s="1729"/>
      <c r="D17" s="1729"/>
      <c r="E17" s="1729"/>
      <c r="F17" s="1729"/>
      <c r="G17" s="1729"/>
      <c r="H17" s="1729"/>
      <c r="I17" s="1730"/>
    </row>
    <row r="18" spans="1:9" ht="30" customHeight="1">
      <c r="A18" s="532">
        <v>1</v>
      </c>
      <c r="B18" s="1717" t="s">
        <v>1080</v>
      </c>
      <c r="C18" s="1718"/>
      <c r="D18" s="533" t="s">
        <v>271</v>
      </c>
      <c r="E18" s="532" t="s">
        <v>1041</v>
      </c>
      <c r="F18" s="532" t="s">
        <v>1042</v>
      </c>
      <c r="G18" s="533" t="s">
        <v>1548</v>
      </c>
      <c r="H18" s="534"/>
      <c r="I18" s="533" t="s">
        <v>1548</v>
      </c>
    </row>
    <row r="19" spans="1:9" ht="30" customHeight="1">
      <c r="A19" s="532">
        <v>2</v>
      </c>
      <c r="B19" s="1717" t="s">
        <v>1081</v>
      </c>
      <c r="C19" s="1718"/>
      <c r="D19" s="533" t="s">
        <v>271</v>
      </c>
      <c r="E19" s="532" t="s">
        <v>1041</v>
      </c>
      <c r="F19" s="532" t="s">
        <v>1042</v>
      </c>
      <c r="G19" s="533" t="s">
        <v>1548</v>
      </c>
      <c r="H19" s="534"/>
      <c r="I19" s="533" t="s">
        <v>1548</v>
      </c>
    </row>
    <row r="20" spans="1:9" ht="19.5" customHeight="1">
      <c r="A20" s="1725"/>
      <c r="B20" s="1726"/>
      <c r="C20" s="1726"/>
      <c r="D20" s="1726"/>
      <c r="E20" s="1726"/>
      <c r="F20" s="1726"/>
      <c r="G20" s="1726"/>
      <c r="H20" s="1726"/>
      <c r="I20" s="1727"/>
    </row>
    <row r="21" spans="1:9" ht="19.5" customHeight="1">
      <c r="A21" s="1728" t="s">
        <v>1043</v>
      </c>
      <c r="B21" s="1729"/>
      <c r="C21" s="1729"/>
      <c r="D21" s="1729"/>
      <c r="E21" s="1729"/>
      <c r="F21" s="1729"/>
      <c r="G21" s="1729"/>
      <c r="H21" s="1729"/>
      <c r="I21" s="1730"/>
    </row>
    <row r="22" spans="1:9" ht="59.25" customHeight="1">
      <c r="A22" s="536">
        <v>1</v>
      </c>
      <c r="B22" s="537" t="s">
        <v>421</v>
      </c>
      <c r="C22" s="537" t="s">
        <v>422</v>
      </c>
      <c r="D22" s="533" t="s">
        <v>1044</v>
      </c>
      <c r="E22" s="532" t="s">
        <v>1045</v>
      </c>
      <c r="F22" s="532" t="s">
        <v>1092</v>
      </c>
      <c r="G22" s="533" t="s">
        <v>1100</v>
      </c>
      <c r="H22" s="532"/>
      <c r="I22" s="535" t="s">
        <v>1496</v>
      </c>
    </row>
    <row r="23" spans="1:9" ht="19.5" customHeight="1">
      <c r="A23" s="1725"/>
      <c r="B23" s="1726"/>
      <c r="C23" s="1726"/>
      <c r="D23" s="1726"/>
      <c r="E23" s="1726"/>
      <c r="F23" s="1726"/>
      <c r="G23" s="1726"/>
      <c r="H23" s="1726"/>
      <c r="I23" s="1727"/>
    </row>
    <row r="24" spans="1:9" ht="19.5" customHeight="1">
      <c r="A24" s="1728" t="s">
        <v>1046</v>
      </c>
      <c r="B24" s="1729"/>
      <c r="C24" s="1729"/>
      <c r="D24" s="1729"/>
      <c r="E24" s="1729"/>
      <c r="F24" s="1729"/>
      <c r="G24" s="1729"/>
      <c r="H24" s="1729"/>
      <c r="I24" s="1730"/>
    </row>
    <row r="25" spans="1:9" ht="81.75" customHeight="1">
      <c r="A25" s="532">
        <v>1</v>
      </c>
      <c r="B25" s="1717" t="s">
        <v>548</v>
      </c>
      <c r="C25" s="1718" t="s">
        <v>549</v>
      </c>
      <c r="D25" s="533" t="s">
        <v>348</v>
      </c>
      <c r="E25" s="532" t="s">
        <v>1047</v>
      </c>
      <c r="F25" s="532" t="s">
        <v>1048</v>
      </c>
      <c r="G25" s="533" t="s">
        <v>1099</v>
      </c>
      <c r="H25" s="534"/>
      <c r="I25" s="533" t="s">
        <v>1552</v>
      </c>
    </row>
    <row r="26" spans="1:9" ht="80.25" customHeight="1">
      <c r="A26" s="532">
        <v>2</v>
      </c>
      <c r="B26" s="1717" t="s">
        <v>565</v>
      </c>
      <c r="C26" s="1718" t="s">
        <v>566</v>
      </c>
      <c r="D26" s="533" t="s">
        <v>1049</v>
      </c>
      <c r="E26" s="532" t="s">
        <v>1047</v>
      </c>
      <c r="F26" s="532" t="s">
        <v>1048</v>
      </c>
      <c r="G26" s="533" t="s">
        <v>1099</v>
      </c>
      <c r="H26" s="534"/>
      <c r="I26" s="533" t="s">
        <v>1556</v>
      </c>
    </row>
    <row r="27" spans="1:9" ht="12" customHeight="1">
      <c r="A27" s="1725"/>
      <c r="B27" s="1726"/>
      <c r="C27" s="1726"/>
      <c r="D27" s="1726"/>
      <c r="E27" s="1726"/>
      <c r="F27" s="1726"/>
      <c r="G27" s="1726"/>
      <c r="H27" s="1726"/>
      <c r="I27" s="1727"/>
    </row>
    <row r="28" spans="1:9" ht="19.5" customHeight="1">
      <c r="A28" s="1728" t="s">
        <v>1050</v>
      </c>
      <c r="B28" s="1729"/>
      <c r="C28" s="1729"/>
      <c r="D28" s="1729"/>
      <c r="E28" s="1729"/>
      <c r="F28" s="1729"/>
      <c r="G28" s="1729"/>
      <c r="H28" s="1729"/>
      <c r="I28" s="1730"/>
    </row>
    <row r="29" spans="1:9" ht="26.25" customHeight="1">
      <c r="A29" s="532">
        <v>1</v>
      </c>
      <c r="B29" s="537" t="s">
        <v>1630</v>
      </c>
      <c r="C29" s="537" t="s">
        <v>1629</v>
      </c>
      <c r="D29" s="533" t="s">
        <v>367</v>
      </c>
      <c r="E29" s="538" t="s">
        <v>1047</v>
      </c>
      <c r="F29" s="539" t="s">
        <v>1051</v>
      </c>
      <c r="G29" s="532" t="s">
        <v>1052</v>
      </c>
      <c r="H29" s="532"/>
      <c r="I29" s="533" t="s">
        <v>1053</v>
      </c>
    </row>
    <row r="30" spans="1:9" ht="19.5" customHeight="1">
      <c r="A30" s="532">
        <v>2</v>
      </c>
      <c r="B30" s="537" t="s">
        <v>364</v>
      </c>
      <c r="C30" s="540" t="s">
        <v>365</v>
      </c>
      <c r="D30" s="533" t="s">
        <v>366</v>
      </c>
      <c r="E30" s="538" t="s">
        <v>1047</v>
      </c>
      <c r="F30" s="539" t="s">
        <v>1051</v>
      </c>
      <c r="G30" s="532" t="s">
        <v>1052</v>
      </c>
      <c r="H30" s="532"/>
      <c r="I30" s="533" t="s">
        <v>1053</v>
      </c>
    </row>
    <row r="31" spans="1:9" ht="19.5" customHeight="1">
      <c r="A31" s="579"/>
      <c r="B31" s="580"/>
      <c r="C31" s="581"/>
      <c r="D31" s="582"/>
      <c r="E31" s="583"/>
      <c r="F31" s="584"/>
      <c r="G31" s="585"/>
      <c r="H31" s="585"/>
      <c r="I31" s="586"/>
    </row>
    <row r="32" spans="1:9" ht="19.5" customHeight="1">
      <c r="A32" s="1728" t="s">
        <v>1088</v>
      </c>
      <c r="B32" s="1729"/>
      <c r="C32" s="1729"/>
      <c r="D32" s="1729"/>
      <c r="E32" s="1729"/>
      <c r="F32" s="1729"/>
      <c r="G32" s="1729"/>
      <c r="H32" s="1729"/>
      <c r="I32" s="1730"/>
    </row>
    <row r="33" spans="1:11" ht="43.5">
      <c r="A33" s="532">
        <v>1</v>
      </c>
      <c r="B33" s="537" t="s">
        <v>1089</v>
      </c>
      <c r="C33" s="537" t="s">
        <v>1090</v>
      </c>
      <c r="D33" s="533" t="s">
        <v>1091</v>
      </c>
      <c r="E33" s="538" t="s">
        <v>1047</v>
      </c>
      <c r="F33" s="532" t="s">
        <v>1048</v>
      </c>
      <c r="G33" s="533" t="s">
        <v>1100</v>
      </c>
      <c r="H33" s="532"/>
      <c r="I33" s="533" t="s">
        <v>1553</v>
      </c>
    </row>
    <row r="34" spans="1:11" ht="19.5" customHeight="1">
      <c r="A34" s="1725"/>
      <c r="B34" s="1726"/>
      <c r="C34" s="1726"/>
      <c r="D34" s="1726"/>
      <c r="E34" s="1726"/>
      <c r="F34" s="1726"/>
      <c r="G34" s="1726"/>
      <c r="H34" s="1726"/>
      <c r="I34" s="1727"/>
    </row>
    <row r="35" spans="1:11" ht="19.5" customHeight="1">
      <c r="A35" s="541" t="s">
        <v>1029</v>
      </c>
      <c r="B35" s="1732" t="s">
        <v>1054</v>
      </c>
      <c r="C35" s="1732"/>
      <c r="D35" s="1732"/>
      <c r="E35" s="541" t="s">
        <v>1055</v>
      </c>
      <c r="F35" s="541" t="s">
        <v>1056</v>
      </c>
      <c r="G35" s="541" t="s">
        <v>1057</v>
      </c>
      <c r="H35" s="530" t="s">
        <v>1033</v>
      </c>
      <c r="I35" s="530" t="s">
        <v>1</v>
      </c>
    </row>
    <row r="36" spans="1:11">
      <c r="A36" s="536">
        <v>1</v>
      </c>
      <c r="B36" s="1731" t="s">
        <v>1058</v>
      </c>
      <c r="C36" s="1731"/>
      <c r="D36" s="1731"/>
      <c r="E36" s="536">
        <v>6</v>
      </c>
      <c r="F36" s="536">
        <v>6</v>
      </c>
      <c r="G36" s="538">
        <v>6</v>
      </c>
      <c r="H36" s="536"/>
      <c r="I36" s="534" t="s">
        <v>50</v>
      </c>
    </row>
    <row r="37" spans="1:11">
      <c r="A37" s="536">
        <v>2</v>
      </c>
      <c r="B37" s="1731" t="s">
        <v>1059</v>
      </c>
      <c r="C37" s="1731"/>
      <c r="D37" s="1731"/>
      <c r="E37" s="536">
        <v>2</v>
      </c>
      <c r="F37" s="536">
        <v>2</v>
      </c>
      <c r="G37" s="538">
        <v>2</v>
      </c>
      <c r="H37" s="538"/>
      <c r="I37" s="534" t="s">
        <v>50</v>
      </c>
      <c r="K37" s="7"/>
    </row>
    <row r="38" spans="1:11">
      <c r="A38" s="536">
        <v>3</v>
      </c>
      <c r="B38" s="1731" t="s">
        <v>1060</v>
      </c>
      <c r="C38" s="1731"/>
      <c r="D38" s="1731"/>
      <c r="E38" s="536">
        <v>1</v>
      </c>
      <c r="F38" s="536">
        <v>1</v>
      </c>
      <c r="G38" s="533">
        <v>1</v>
      </c>
      <c r="H38" s="538"/>
      <c r="I38" s="534" t="s">
        <v>50</v>
      </c>
      <c r="K38" s="7"/>
    </row>
    <row r="39" spans="1:11">
      <c r="A39" s="536">
        <v>4</v>
      </c>
      <c r="B39" s="1731" t="s">
        <v>1061</v>
      </c>
      <c r="C39" s="1731"/>
      <c r="D39" s="1731"/>
      <c r="E39" s="536">
        <v>1</v>
      </c>
      <c r="F39" s="536">
        <v>1</v>
      </c>
      <c r="G39" s="533">
        <v>1</v>
      </c>
      <c r="H39" s="538"/>
      <c r="I39" s="534" t="s">
        <v>1771</v>
      </c>
      <c r="K39" s="7"/>
    </row>
    <row r="40" spans="1:11">
      <c r="A40" s="536">
        <v>5</v>
      </c>
      <c r="B40" s="1731" t="s">
        <v>1373</v>
      </c>
      <c r="C40" s="1731"/>
      <c r="D40" s="1731"/>
      <c r="E40" s="536">
        <v>1</v>
      </c>
      <c r="F40" s="536">
        <v>1</v>
      </c>
      <c r="G40" s="61">
        <v>1</v>
      </c>
      <c r="H40" s="538"/>
      <c r="I40" s="61" t="s">
        <v>1471</v>
      </c>
      <c r="K40" s="7"/>
    </row>
    <row r="41" spans="1:11" ht="29">
      <c r="A41" s="536">
        <v>6</v>
      </c>
      <c r="B41" s="1731" t="s">
        <v>1062</v>
      </c>
      <c r="C41" s="1731"/>
      <c r="D41" s="1731"/>
      <c r="E41" s="536">
        <v>1</v>
      </c>
      <c r="F41" s="536">
        <v>1</v>
      </c>
      <c r="G41" s="538">
        <v>1</v>
      </c>
      <c r="H41" s="538"/>
      <c r="I41" s="533" t="s">
        <v>1087</v>
      </c>
      <c r="K41" s="7"/>
    </row>
    <row r="42" spans="1:11">
      <c r="A42" s="536">
        <v>5</v>
      </c>
      <c r="B42" s="1731" t="s">
        <v>1063</v>
      </c>
      <c r="C42" s="1731"/>
      <c r="D42" s="1731"/>
      <c r="E42" s="536">
        <v>1</v>
      </c>
      <c r="F42" s="536">
        <v>1</v>
      </c>
      <c r="G42" s="538">
        <v>1</v>
      </c>
      <c r="H42" s="538"/>
      <c r="I42" s="61" t="s">
        <v>1471</v>
      </c>
      <c r="K42" s="7"/>
    </row>
    <row r="43" spans="1:11" ht="33.75" customHeight="1">
      <c r="A43" s="536">
        <v>6</v>
      </c>
      <c r="B43" s="1734" t="s">
        <v>1064</v>
      </c>
      <c r="C43" s="1735"/>
      <c r="D43" s="1736"/>
      <c r="E43" s="536">
        <v>1</v>
      </c>
      <c r="F43" s="536">
        <v>1</v>
      </c>
      <c r="G43" s="538" t="s">
        <v>1460</v>
      </c>
      <c r="H43" s="535"/>
      <c r="I43" s="533" t="s">
        <v>1504</v>
      </c>
    </row>
    <row r="44" spans="1:11" ht="29">
      <c r="A44" s="536">
        <v>7</v>
      </c>
      <c r="B44" s="571" t="s">
        <v>1093</v>
      </c>
      <c r="C44" s="572"/>
      <c r="D44" s="573"/>
      <c r="E44" s="536">
        <v>1</v>
      </c>
      <c r="F44" s="536">
        <v>1</v>
      </c>
      <c r="G44" s="533">
        <v>1</v>
      </c>
      <c r="H44" s="535"/>
      <c r="I44" s="533" t="s">
        <v>1576</v>
      </c>
    </row>
    <row r="45" spans="1:11" ht="18.5">
      <c r="A45" s="536">
        <v>8</v>
      </c>
      <c r="B45" s="571" t="s">
        <v>1472</v>
      </c>
      <c r="C45" s="572"/>
      <c r="D45" s="573"/>
      <c r="E45" s="536">
        <v>1</v>
      </c>
      <c r="F45" s="536">
        <v>1</v>
      </c>
      <c r="G45" s="533">
        <v>1</v>
      </c>
      <c r="H45" s="535"/>
      <c r="I45" s="533" t="s">
        <v>1473</v>
      </c>
    </row>
    <row r="46" spans="1:11" ht="19.5" customHeight="1">
      <c r="A46" s="1733" t="s">
        <v>81</v>
      </c>
      <c r="B46" s="1733"/>
      <c r="C46" s="1733"/>
      <c r="D46" s="1733"/>
      <c r="E46" s="542">
        <f>SUM(E36:E45)</f>
        <v>16</v>
      </c>
      <c r="F46" s="542">
        <f>SUM(F36:F45)</f>
        <v>16</v>
      </c>
      <c r="G46" s="542">
        <f>SUM(G36:G45)</f>
        <v>15</v>
      </c>
      <c r="H46" s="542"/>
      <c r="I46" s="543"/>
    </row>
    <row r="1279" spans="2:15">
      <c r="B1279" s="1003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7" customWidth="1"/>
    <col min="3" max="3" width="14.7265625" style="138" bestFit="1" customWidth="1"/>
    <col min="4" max="4" width="11.1796875" style="156" bestFit="1" customWidth="1"/>
    <col min="5" max="5" width="22" style="138" customWidth="1"/>
    <col min="6" max="6" width="16.81640625" style="138" customWidth="1"/>
    <col min="7" max="7" width="3.453125" style="137" customWidth="1"/>
    <col min="8" max="8" width="13" style="137" bestFit="1" customWidth="1"/>
    <col min="9" max="9" width="12" style="137" customWidth="1"/>
    <col min="10" max="10" width="11.1796875" style="137" customWidth="1"/>
    <col min="11" max="16384" width="9.1796875" style="137"/>
  </cols>
  <sheetData>
    <row r="1" spans="1:6" ht="15" thickBot="1"/>
    <row r="2" spans="1:6" s="135" customFormat="1" ht="16.5" customHeight="1" thickBot="1">
      <c r="A2" s="1737" t="s">
        <v>664</v>
      </c>
      <c r="B2" s="1738"/>
      <c r="C2" s="1738"/>
      <c r="D2" s="1739"/>
      <c r="E2" s="1738"/>
      <c r="F2" s="1740"/>
    </row>
    <row r="3" spans="1:6" s="136" customFormat="1" ht="18.5">
      <c r="A3" s="1741" t="s">
        <v>91</v>
      </c>
      <c r="B3" s="306" t="s">
        <v>654</v>
      </c>
      <c r="C3" s="306" t="s">
        <v>653</v>
      </c>
      <c r="D3" s="306" t="s">
        <v>486</v>
      </c>
      <c r="E3" s="306" t="s">
        <v>987</v>
      </c>
      <c r="F3" s="306" t="s">
        <v>1</v>
      </c>
    </row>
    <row r="4" spans="1:6" s="136" customFormat="1" ht="19" thickBot="1">
      <c r="A4" s="1742"/>
      <c r="B4" s="423" t="s">
        <v>522</v>
      </c>
      <c r="C4" s="423" t="s">
        <v>523</v>
      </c>
      <c r="D4" s="423" t="s">
        <v>487</v>
      </c>
      <c r="E4" s="424" t="str">
        <f>TA413_PBNTL!M1</f>
        <v>26.06.2026</v>
      </c>
      <c r="F4" s="423"/>
    </row>
    <row r="5" spans="1:6" s="307" customFormat="1" ht="15.5">
      <c r="A5" s="425">
        <f>SUBTOTAL(103,$C$5:C5)</f>
        <v>1</v>
      </c>
      <c r="B5" s="426" t="s">
        <v>524</v>
      </c>
      <c r="C5" s="427" t="s">
        <v>244</v>
      </c>
      <c r="D5" s="428" t="s">
        <v>244</v>
      </c>
      <c r="E5" s="429" t="s">
        <v>50</v>
      </c>
      <c r="F5" s="430"/>
    </row>
    <row r="6" spans="1:6" s="307" customFormat="1" ht="15.5">
      <c r="A6" s="431">
        <f>SUBTOTAL(103,$C$5:C6)</f>
        <v>2</v>
      </c>
      <c r="B6" s="432" t="s">
        <v>525</v>
      </c>
      <c r="C6" s="433" t="s">
        <v>268</v>
      </c>
      <c r="D6" s="434" t="s">
        <v>188</v>
      </c>
      <c r="E6" s="435" t="s">
        <v>655</v>
      </c>
      <c r="F6" s="436"/>
    </row>
    <row r="7" spans="1:6" s="307" customFormat="1" ht="15.5">
      <c r="A7" s="431">
        <f>SUBTOTAL(103,$C$5:C7)</f>
        <v>3</v>
      </c>
      <c r="B7" s="432" t="s">
        <v>526</v>
      </c>
      <c r="C7" s="433" t="s">
        <v>269</v>
      </c>
      <c r="D7" s="434" t="s">
        <v>178</v>
      </c>
      <c r="E7" s="435" t="s">
        <v>655</v>
      </c>
      <c r="F7" s="436"/>
    </row>
    <row r="8" spans="1:6" s="307" customFormat="1" ht="15.5">
      <c r="A8" s="431">
        <f>SUBTOTAL(103,$C$5:C8)</f>
        <v>4</v>
      </c>
      <c r="B8" s="432" t="s">
        <v>527</v>
      </c>
      <c r="C8" s="433" t="s">
        <v>270</v>
      </c>
      <c r="D8" s="437" t="s">
        <v>184</v>
      </c>
      <c r="E8" s="435" t="s">
        <v>50</v>
      </c>
      <c r="F8" s="436"/>
    </row>
    <row r="9" spans="1:6" s="307" customFormat="1" ht="15.5">
      <c r="A9" s="431">
        <f>SUBTOTAL(103,$C$5:C9)</f>
        <v>5</v>
      </c>
      <c r="B9" s="433"/>
      <c r="C9" s="433" t="s">
        <v>528</v>
      </c>
      <c r="D9" s="437" t="s">
        <v>2</v>
      </c>
      <c r="E9" s="435" t="s">
        <v>50</v>
      </c>
      <c r="F9" s="436"/>
    </row>
    <row r="10" spans="1:6" s="307" customFormat="1" ht="15.5">
      <c r="A10" s="431">
        <f>SUBTOTAL(103,$C$5:C10)</f>
        <v>6</v>
      </c>
      <c r="B10" s="433"/>
      <c r="C10" s="433" t="s">
        <v>529</v>
      </c>
      <c r="D10" s="437" t="s">
        <v>79</v>
      </c>
      <c r="E10" s="435" t="s">
        <v>50</v>
      </c>
      <c r="F10" s="436"/>
    </row>
    <row r="11" spans="1:6" s="307" customFormat="1" ht="15.5">
      <c r="A11" s="431">
        <f>SUBTOTAL(103,$C$5:C11)</f>
        <v>7</v>
      </c>
      <c r="B11" s="433"/>
      <c r="C11" s="433" t="s">
        <v>530</v>
      </c>
      <c r="D11" s="437" t="s">
        <v>2</v>
      </c>
      <c r="E11" s="435" t="s">
        <v>50</v>
      </c>
      <c r="F11" s="436"/>
    </row>
    <row r="12" spans="1:6" s="307" customFormat="1" ht="15.5">
      <c r="A12" s="431">
        <f>SUBTOTAL(103,$C$5:C12)</f>
        <v>8</v>
      </c>
      <c r="B12" s="433"/>
      <c r="C12" s="433" t="s">
        <v>531</v>
      </c>
      <c r="D12" s="437" t="s">
        <v>79</v>
      </c>
      <c r="E12" s="435" t="s">
        <v>50</v>
      </c>
      <c r="F12" s="436"/>
    </row>
    <row r="13" spans="1:6" s="307" customFormat="1" ht="15.5">
      <c r="A13" s="431">
        <f>SUBTOTAL(103,$C$5:C13)</f>
        <v>9</v>
      </c>
      <c r="B13" s="433"/>
      <c r="C13" s="433" t="s">
        <v>532</v>
      </c>
      <c r="D13" s="437" t="s">
        <v>2</v>
      </c>
      <c r="E13" s="435" t="s">
        <v>50</v>
      </c>
      <c r="F13" s="436"/>
    </row>
    <row r="14" spans="1:6" s="307" customFormat="1" ht="15.5">
      <c r="A14" s="431">
        <f>SUBTOTAL(103,$C$5:C14)</f>
        <v>10</v>
      </c>
      <c r="B14" s="433"/>
      <c r="C14" s="433" t="s">
        <v>533</v>
      </c>
      <c r="D14" s="437" t="s">
        <v>2</v>
      </c>
      <c r="E14" s="435" t="s">
        <v>50</v>
      </c>
      <c r="F14" s="436"/>
    </row>
    <row r="15" spans="1:6" s="307" customFormat="1" ht="15.5">
      <c r="A15" s="431">
        <f>SUBTOTAL(103,$C$5:C15)</f>
        <v>11</v>
      </c>
      <c r="B15" s="433"/>
      <c r="C15" s="433" t="s">
        <v>534</v>
      </c>
      <c r="D15" s="437" t="s">
        <v>2</v>
      </c>
      <c r="E15" s="435" t="s">
        <v>50</v>
      </c>
      <c r="F15" s="436"/>
    </row>
    <row r="16" spans="1:6" s="307" customFormat="1" ht="15.5">
      <c r="A16" s="431">
        <f>SUBTOTAL(103,$C$5:C16)</f>
        <v>12</v>
      </c>
      <c r="B16" s="433"/>
      <c r="C16" s="433" t="s">
        <v>535</v>
      </c>
      <c r="D16" s="437" t="s">
        <v>3</v>
      </c>
      <c r="E16" s="435" t="s">
        <v>50</v>
      </c>
      <c r="F16" s="436"/>
    </row>
    <row r="17" spans="1:13" s="307" customFormat="1" ht="15.5">
      <c r="A17" s="431">
        <f>SUBTOTAL(103,$C$5:C17)</f>
        <v>13</v>
      </c>
      <c r="B17" s="433"/>
      <c r="C17" s="433" t="s">
        <v>536</v>
      </c>
      <c r="D17" s="437" t="s">
        <v>3</v>
      </c>
      <c r="E17" s="435" t="s">
        <v>50</v>
      </c>
      <c r="F17" s="436"/>
    </row>
    <row r="18" spans="1:13" s="307" customFormat="1" ht="15.5">
      <c r="A18" s="431">
        <f>SUBTOTAL(103,$C$5:C18)</f>
        <v>14</v>
      </c>
      <c r="B18" s="433"/>
      <c r="C18" s="433" t="s">
        <v>537</v>
      </c>
      <c r="D18" s="437" t="s">
        <v>49</v>
      </c>
      <c r="E18" s="435" t="s">
        <v>50</v>
      </c>
      <c r="F18" s="436"/>
    </row>
    <row r="19" spans="1:13" s="307" customFormat="1" ht="15.5">
      <c r="A19" s="431">
        <f>SUBTOTAL(103,$C$5:C19)</f>
        <v>15</v>
      </c>
      <c r="B19" s="433"/>
      <c r="C19" s="433" t="s">
        <v>538</v>
      </c>
      <c r="D19" s="437" t="s">
        <v>3</v>
      </c>
      <c r="E19" s="435" t="s">
        <v>50</v>
      </c>
      <c r="F19" s="436"/>
    </row>
    <row r="20" spans="1:13" s="307" customFormat="1" ht="15.5">
      <c r="A20" s="431">
        <f>SUBTOTAL(103,$C$5:C20)</f>
        <v>16</v>
      </c>
      <c r="B20" s="432" t="s">
        <v>539</v>
      </c>
      <c r="C20" s="438" t="s">
        <v>256</v>
      </c>
      <c r="D20" s="437" t="s">
        <v>211</v>
      </c>
      <c r="E20" s="435" t="s">
        <v>50</v>
      </c>
      <c r="F20" s="436"/>
      <c r="M20" s="924"/>
    </row>
    <row r="21" spans="1:13" s="307" customFormat="1" ht="15.5">
      <c r="A21" s="431">
        <f>SUBTOTAL(103,$C$5:C21)</f>
        <v>17</v>
      </c>
      <c r="B21" s="433"/>
      <c r="C21" s="433" t="s">
        <v>454</v>
      </c>
      <c r="D21" s="437" t="s">
        <v>79</v>
      </c>
      <c r="E21" s="435" t="s">
        <v>50</v>
      </c>
      <c r="F21" s="436"/>
      <c r="M21" s="924"/>
    </row>
    <row r="22" spans="1:13" s="307" customFormat="1" ht="15.5">
      <c r="A22" s="431">
        <f>SUBTOTAL(103,$C$5:C22)</f>
        <v>18</v>
      </c>
      <c r="B22" s="433"/>
      <c r="C22" s="433" t="s">
        <v>455</v>
      </c>
      <c r="D22" s="437" t="s">
        <v>2</v>
      </c>
      <c r="E22" s="435" t="s">
        <v>50</v>
      </c>
      <c r="F22" s="436"/>
    </row>
    <row r="23" spans="1:13" s="307" customFormat="1" ht="15.5">
      <c r="A23" s="431">
        <f>SUBTOTAL(103,$C$5:C23)</f>
        <v>19</v>
      </c>
      <c r="B23" s="433"/>
      <c r="C23" s="433" t="s">
        <v>456</v>
      </c>
      <c r="D23" s="437" t="s">
        <v>2</v>
      </c>
      <c r="E23" s="435" t="s">
        <v>50</v>
      </c>
      <c r="F23" s="436"/>
    </row>
    <row r="24" spans="1:13" s="307" customFormat="1" ht="15.5">
      <c r="A24" s="431">
        <f>SUBTOTAL(103,$C$5:C24)</f>
        <v>20</v>
      </c>
      <c r="B24" s="433"/>
      <c r="C24" s="433" t="s">
        <v>457</v>
      </c>
      <c r="D24" s="437" t="s">
        <v>79</v>
      </c>
      <c r="E24" s="435" t="s">
        <v>50</v>
      </c>
      <c r="F24" s="436"/>
    </row>
    <row r="25" spans="1:13" s="307" customFormat="1" ht="15.5">
      <c r="A25" s="431">
        <f>SUBTOTAL(103,$C$5:C25)</f>
        <v>21</v>
      </c>
      <c r="B25" s="433"/>
      <c r="C25" s="433" t="s">
        <v>458</v>
      </c>
      <c r="D25" s="437" t="s">
        <v>79</v>
      </c>
      <c r="E25" s="435" t="s">
        <v>50</v>
      </c>
      <c r="F25" s="436"/>
    </row>
    <row r="26" spans="1:13" s="307" customFormat="1" ht="15.5">
      <c r="A26" s="431">
        <f>SUBTOTAL(103,$C$5:C26)</f>
        <v>22</v>
      </c>
      <c r="B26" s="432" t="s">
        <v>891</v>
      </c>
      <c r="C26" s="438" t="s">
        <v>892</v>
      </c>
      <c r="D26" s="437" t="s">
        <v>226</v>
      </c>
      <c r="E26" s="435" t="s">
        <v>50</v>
      </c>
      <c r="F26" s="436"/>
    </row>
    <row r="27" spans="1:13" s="307" customFormat="1" ht="15.5">
      <c r="A27" s="431">
        <f>SUBTOTAL(103,$C$5:C27)</f>
        <v>23</v>
      </c>
      <c r="B27" s="433"/>
      <c r="C27" s="433" t="s">
        <v>893</v>
      </c>
      <c r="D27" s="437" t="s">
        <v>79</v>
      </c>
      <c r="E27" s="435" t="s">
        <v>50</v>
      </c>
      <c r="F27" s="436"/>
    </row>
    <row r="28" spans="1:13" s="307" customFormat="1" ht="15.5">
      <c r="A28" s="431">
        <f>SUBTOTAL(103,$C$5:C28)</f>
        <v>24</v>
      </c>
      <c r="B28" s="433"/>
      <c r="C28" s="433" t="s">
        <v>894</v>
      </c>
      <c r="D28" s="437" t="s">
        <v>79</v>
      </c>
      <c r="E28" s="435" t="s">
        <v>50</v>
      </c>
      <c r="F28" s="436"/>
    </row>
    <row r="29" spans="1:13" s="307" customFormat="1" ht="15.5">
      <c r="A29" s="431">
        <f>SUBTOTAL(103,$C$5:C29)</f>
        <v>25</v>
      </c>
      <c r="B29" s="433"/>
      <c r="C29" s="433" t="s">
        <v>895</v>
      </c>
      <c r="D29" s="437" t="s">
        <v>49</v>
      </c>
      <c r="E29" s="435" t="s">
        <v>50</v>
      </c>
      <c r="F29" s="436"/>
    </row>
    <row r="30" spans="1:13" s="307" customFormat="1" ht="15.5">
      <c r="A30" s="431">
        <f>SUBTOTAL(103,$C$5:C30)</f>
        <v>26</v>
      </c>
      <c r="B30" s="433"/>
      <c r="C30" s="433" t="s">
        <v>896</v>
      </c>
      <c r="D30" s="437" t="s">
        <v>79</v>
      </c>
      <c r="E30" s="435" t="s">
        <v>50</v>
      </c>
      <c r="F30" s="436"/>
    </row>
    <row r="31" spans="1:13" s="307" customFormat="1" ht="15.5">
      <c r="A31" s="431">
        <f>SUBTOTAL(103,$C$5:C31)</f>
        <v>27</v>
      </c>
      <c r="B31" s="433"/>
      <c r="C31" s="433" t="s">
        <v>897</v>
      </c>
      <c r="D31" s="437" t="s">
        <v>49</v>
      </c>
      <c r="E31" s="435" t="s">
        <v>50</v>
      </c>
      <c r="F31" s="436"/>
    </row>
    <row r="32" spans="1:13" s="307" customFormat="1" ht="15.5">
      <c r="A32" s="431">
        <f>SUBTOTAL(103,$C$5:C32)</f>
        <v>28</v>
      </c>
      <c r="B32" s="433"/>
      <c r="C32" s="433" t="s">
        <v>898</v>
      </c>
      <c r="D32" s="437" t="s">
        <v>49</v>
      </c>
      <c r="E32" s="435" t="s">
        <v>50</v>
      </c>
      <c r="F32" s="436"/>
    </row>
    <row r="33" spans="1:10" s="307" customFormat="1" ht="15.5">
      <c r="A33" s="431">
        <f>SUBTOTAL(103,$C$5:C33)</f>
        <v>29</v>
      </c>
      <c r="B33" s="432" t="s">
        <v>540</v>
      </c>
      <c r="C33" s="438" t="s">
        <v>257</v>
      </c>
      <c r="D33" s="437" t="s">
        <v>227</v>
      </c>
      <c r="E33" s="435" t="s">
        <v>50</v>
      </c>
      <c r="F33" s="436"/>
    </row>
    <row r="34" spans="1:10" s="307" customFormat="1" ht="15.5">
      <c r="A34" s="431">
        <f>SUBTOTAL(103,$C$5:C34)</f>
        <v>30</v>
      </c>
      <c r="B34" s="433"/>
      <c r="C34" s="433" t="s">
        <v>459</v>
      </c>
      <c r="D34" s="437" t="s">
        <v>79</v>
      </c>
      <c r="E34" s="435" t="s">
        <v>50</v>
      </c>
      <c r="F34" s="436"/>
    </row>
    <row r="35" spans="1:10" s="307" customFormat="1" ht="15.5">
      <c r="A35" s="431">
        <f>SUBTOTAL(103,$C$5:C35)</f>
        <v>31</v>
      </c>
      <c r="B35" s="433"/>
      <c r="C35" s="433" t="s">
        <v>460</v>
      </c>
      <c r="D35" s="437" t="s">
        <v>49</v>
      </c>
      <c r="E35" s="435" t="s">
        <v>50</v>
      </c>
      <c r="F35" s="436"/>
    </row>
    <row r="36" spans="1:10" s="307" customFormat="1" ht="15.5">
      <c r="A36" s="431">
        <f>SUBTOTAL(103,$C$5:C36)</f>
        <v>32</v>
      </c>
      <c r="B36" s="433"/>
      <c r="C36" s="433" t="s">
        <v>461</v>
      </c>
      <c r="D36" s="437" t="s">
        <v>49</v>
      </c>
      <c r="E36" s="435" t="s">
        <v>50</v>
      </c>
      <c r="F36" s="436"/>
      <c r="J36" s="307">
        <f>SUM(J35:J35)</f>
        <v>0</v>
      </c>
    </row>
    <row r="37" spans="1:10" s="307" customFormat="1" ht="15.5">
      <c r="A37" s="431">
        <f>SUBTOTAL(103,$C$5:C37)</f>
        <v>33</v>
      </c>
      <c r="B37" s="433"/>
      <c r="C37" s="433" t="s">
        <v>462</v>
      </c>
      <c r="D37" s="437" t="s">
        <v>154</v>
      </c>
      <c r="E37" s="435" t="s">
        <v>50</v>
      </c>
      <c r="F37" s="436"/>
    </row>
    <row r="38" spans="1:10" s="307" customFormat="1" ht="15.5">
      <c r="A38" s="431">
        <f>SUBTOTAL(103,$C$5:C38)</f>
        <v>34</v>
      </c>
      <c r="B38" s="433"/>
      <c r="C38" s="433" t="s">
        <v>463</v>
      </c>
      <c r="D38" s="437" t="s">
        <v>79</v>
      </c>
      <c r="E38" s="435" t="s">
        <v>50</v>
      </c>
      <c r="F38" s="436"/>
    </row>
    <row r="39" spans="1:10" s="307" customFormat="1" ht="15.5">
      <c r="A39" s="431">
        <f>SUBTOTAL(103,$C$5:C39)</f>
        <v>35</v>
      </c>
      <c r="B39" s="433"/>
      <c r="C39" s="433" t="s">
        <v>464</v>
      </c>
      <c r="D39" s="437" t="s">
        <v>2</v>
      </c>
      <c r="E39" s="435" t="s">
        <v>50</v>
      </c>
      <c r="F39" s="436"/>
    </row>
    <row r="40" spans="1:10" s="307" customFormat="1" ht="15.5">
      <c r="A40" s="431">
        <f>SUBTOTAL(103,$C$5:C40)</f>
        <v>36</v>
      </c>
      <c r="B40" s="433"/>
      <c r="C40" s="433" t="s">
        <v>465</v>
      </c>
      <c r="D40" s="437" t="s">
        <v>49</v>
      </c>
      <c r="E40" s="435" t="s">
        <v>50</v>
      </c>
      <c r="F40" s="436"/>
    </row>
    <row r="41" spans="1:10" s="307" customFormat="1" ht="15.5">
      <c r="A41" s="431">
        <f>SUBTOTAL(103,$C$5:C41)</f>
        <v>37</v>
      </c>
      <c r="B41" s="433"/>
      <c r="C41" s="433" t="s">
        <v>466</v>
      </c>
      <c r="D41" s="437" t="s">
        <v>79</v>
      </c>
      <c r="E41" s="435" t="s">
        <v>50</v>
      </c>
      <c r="F41" s="436"/>
    </row>
    <row r="42" spans="1:10" s="307" customFormat="1" ht="15.5">
      <c r="A42" s="431">
        <f>SUBTOTAL(103,$C$5:C42)</f>
        <v>38</v>
      </c>
      <c r="B42" s="433"/>
      <c r="C42" s="433" t="s">
        <v>467</v>
      </c>
      <c r="D42" s="437" t="s">
        <v>79</v>
      </c>
      <c r="E42" s="435" t="s">
        <v>50</v>
      </c>
      <c r="F42" s="436"/>
    </row>
    <row r="43" spans="1:10" s="307" customFormat="1" ht="15.5">
      <c r="A43" s="431">
        <f>SUBTOTAL(103,$C$5:C43)</f>
        <v>39</v>
      </c>
      <c r="B43" s="433"/>
      <c r="C43" s="433" t="s">
        <v>468</v>
      </c>
      <c r="D43" s="437" t="s">
        <v>49</v>
      </c>
      <c r="E43" s="435" t="s">
        <v>50</v>
      </c>
      <c r="F43" s="436"/>
    </row>
    <row r="44" spans="1:10" s="307" customFormat="1" ht="15.5">
      <c r="A44" s="431">
        <f>SUBTOTAL(103,$C$5:C44)</f>
        <v>40</v>
      </c>
      <c r="B44" s="432" t="s">
        <v>673</v>
      </c>
      <c r="C44" s="433" t="s">
        <v>674</v>
      </c>
      <c r="D44" s="437" t="s">
        <v>403</v>
      </c>
      <c r="E44" s="435" t="s">
        <v>50</v>
      </c>
      <c r="F44" s="436"/>
    </row>
    <row r="45" spans="1:10" s="307" customFormat="1" ht="15.5">
      <c r="A45" s="431">
        <f>SUBTOTAL(103,$C$5:C45)</f>
        <v>41</v>
      </c>
      <c r="B45" s="432" t="s">
        <v>541</v>
      </c>
      <c r="C45" s="438" t="s">
        <v>258</v>
      </c>
      <c r="D45" s="437" t="s">
        <v>211</v>
      </c>
      <c r="E45" s="435" t="s">
        <v>50</v>
      </c>
      <c r="F45" s="436"/>
    </row>
    <row r="46" spans="1:10" s="307" customFormat="1" ht="15.5">
      <c r="A46" s="431">
        <f>SUBTOTAL(103,$C$5:C46)</f>
        <v>42</v>
      </c>
      <c r="B46" s="433"/>
      <c r="C46" s="433" t="s">
        <v>259</v>
      </c>
      <c r="D46" s="437" t="s">
        <v>49</v>
      </c>
      <c r="E46" s="435" t="s">
        <v>50</v>
      </c>
      <c r="F46" s="436"/>
    </row>
    <row r="47" spans="1:10" s="307" customFormat="1" ht="15.5">
      <c r="A47" s="431">
        <f>SUBTOTAL(103,$C$5:C47)</f>
        <v>43</v>
      </c>
      <c r="B47" s="433"/>
      <c r="C47" s="433" t="s">
        <v>260</v>
      </c>
      <c r="D47" s="437" t="s">
        <v>79</v>
      </c>
      <c r="E47" s="435" t="s">
        <v>50</v>
      </c>
      <c r="F47" s="436"/>
    </row>
    <row r="48" spans="1:10" s="307" customFormat="1" ht="15.5">
      <c r="A48" s="431">
        <f>SUBTOTAL(103,$C$5:C48)</f>
        <v>44</v>
      </c>
      <c r="B48" s="433"/>
      <c r="C48" s="433" t="s">
        <v>469</v>
      </c>
      <c r="D48" s="437" t="s">
        <v>2</v>
      </c>
      <c r="E48" s="435" t="s">
        <v>50</v>
      </c>
      <c r="F48" s="436"/>
    </row>
    <row r="49" spans="1:6" s="307" customFormat="1" ht="15.5">
      <c r="A49" s="431">
        <f>SUBTOTAL(103,$C$5:C49)</f>
        <v>45</v>
      </c>
      <c r="B49" s="433"/>
      <c r="C49" s="433" t="s">
        <v>470</v>
      </c>
      <c r="D49" s="437" t="s">
        <v>49</v>
      </c>
      <c r="E49" s="435" t="s">
        <v>50</v>
      </c>
      <c r="F49" s="436"/>
    </row>
    <row r="50" spans="1:6" s="307" customFormat="1" ht="15.5">
      <c r="A50" s="431">
        <f>SUBTOTAL(103,$C$5:C50)</f>
        <v>46</v>
      </c>
      <c r="B50" s="433"/>
      <c r="C50" s="433" t="s">
        <v>471</v>
      </c>
      <c r="D50" s="437" t="s">
        <v>49</v>
      </c>
      <c r="E50" s="435" t="s">
        <v>50</v>
      </c>
      <c r="F50" s="436"/>
    </row>
    <row r="51" spans="1:6" s="307" customFormat="1" ht="15.5">
      <c r="A51" s="431">
        <f>SUBTOTAL(103,$C$5:C51)</f>
        <v>47</v>
      </c>
      <c r="B51" s="433"/>
      <c r="C51" s="433" t="s">
        <v>472</v>
      </c>
      <c r="D51" s="437" t="s">
        <v>4</v>
      </c>
      <c r="E51" s="435" t="s">
        <v>50</v>
      </c>
      <c r="F51" s="436"/>
    </row>
    <row r="52" spans="1:6" s="307" customFormat="1" ht="15.5">
      <c r="A52" s="431">
        <f>SUBTOTAL(103,$C$5:C52)</f>
        <v>48</v>
      </c>
      <c r="B52" s="433"/>
      <c r="C52" s="433" t="s">
        <v>473</v>
      </c>
      <c r="D52" s="437" t="s">
        <v>170</v>
      </c>
      <c r="E52" s="435" t="s">
        <v>50</v>
      </c>
      <c r="F52" s="436"/>
    </row>
    <row r="53" spans="1:6" s="307" customFormat="1" ht="15.5">
      <c r="A53" s="431">
        <f>SUBTOTAL(103,$C$5:C53)</f>
        <v>49</v>
      </c>
      <c r="B53" s="433"/>
      <c r="C53" s="433" t="s">
        <v>474</v>
      </c>
      <c r="D53" s="437" t="s">
        <v>2</v>
      </c>
      <c r="E53" s="435" t="s">
        <v>50</v>
      </c>
      <c r="F53" s="436"/>
    </row>
    <row r="54" spans="1:6" s="307" customFormat="1" ht="15.5">
      <c r="A54" s="431">
        <f>SUBTOTAL(103,$C$5:C54)</f>
        <v>50</v>
      </c>
      <c r="B54" s="433"/>
      <c r="C54" s="433" t="s">
        <v>475</v>
      </c>
      <c r="D54" s="437" t="s">
        <v>79</v>
      </c>
      <c r="E54" s="435" t="s">
        <v>50</v>
      </c>
      <c r="F54" s="436"/>
    </row>
    <row r="55" spans="1:6" s="307" customFormat="1" ht="15.5">
      <c r="A55" s="431">
        <f>SUBTOTAL(103,$C$5:C55)</f>
        <v>51</v>
      </c>
      <c r="B55" s="433"/>
      <c r="C55" s="433" t="s">
        <v>476</v>
      </c>
      <c r="D55" s="437" t="s">
        <v>170</v>
      </c>
      <c r="E55" s="435" t="s">
        <v>50</v>
      </c>
      <c r="F55" s="436"/>
    </row>
    <row r="56" spans="1:6" s="307" customFormat="1" ht="15.5">
      <c r="A56" s="431">
        <f>SUBTOTAL(103,$C$5:C56)</f>
        <v>52</v>
      </c>
      <c r="B56" s="433"/>
      <c r="C56" s="433" t="s">
        <v>477</v>
      </c>
      <c r="D56" s="437" t="s">
        <v>154</v>
      </c>
      <c r="E56" s="435" t="s">
        <v>50</v>
      </c>
      <c r="F56" s="436"/>
    </row>
    <row r="57" spans="1:6" s="307" customFormat="1" ht="15.5">
      <c r="A57" s="431">
        <f>SUBTOTAL(103,$C$5:C57)</f>
        <v>53</v>
      </c>
      <c r="B57" s="433"/>
      <c r="C57" s="433" t="s">
        <v>492</v>
      </c>
      <c r="D57" s="437" t="s">
        <v>170</v>
      </c>
      <c r="E57" s="435" t="s">
        <v>50</v>
      </c>
      <c r="F57" s="436"/>
    </row>
    <row r="58" spans="1:6" s="307" customFormat="1" ht="15.5">
      <c r="A58" s="431">
        <f>SUBTOTAL(103,$C$5:C58)</f>
        <v>54</v>
      </c>
      <c r="B58" s="432" t="s">
        <v>542</v>
      </c>
      <c r="C58" s="433" t="s">
        <v>261</v>
      </c>
      <c r="D58" s="437" t="s">
        <v>184</v>
      </c>
      <c r="E58" s="435" t="s">
        <v>50</v>
      </c>
      <c r="F58" s="436"/>
    </row>
    <row r="59" spans="1:6" s="307" customFormat="1" ht="15.5">
      <c r="A59" s="431">
        <f>SUBTOTAL(103,$C$5:C59)</f>
        <v>55</v>
      </c>
      <c r="B59" s="433"/>
      <c r="C59" s="433" t="s">
        <v>478</v>
      </c>
      <c r="D59" s="437" t="s">
        <v>4</v>
      </c>
      <c r="E59" s="435" t="s">
        <v>50</v>
      </c>
      <c r="F59" s="436"/>
    </row>
    <row r="60" spans="1:6" s="307" customFormat="1" ht="15.5">
      <c r="A60" s="431">
        <f>SUBTOTAL(103,$C$5:C60)</f>
        <v>56</v>
      </c>
      <c r="B60" s="433"/>
      <c r="C60" s="433" t="s">
        <v>479</v>
      </c>
      <c r="D60" s="437" t="s">
        <v>79</v>
      </c>
      <c r="E60" s="435" t="s">
        <v>50</v>
      </c>
      <c r="F60" s="436"/>
    </row>
    <row r="61" spans="1:6" s="307" customFormat="1" ht="15.5">
      <c r="A61" s="431">
        <f>SUBTOTAL(103,$C$5:C61)</f>
        <v>57</v>
      </c>
      <c r="B61" s="433"/>
      <c r="C61" s="433" t="s">
        <v>480</v>
      </c>
      <c r="D61" s="437" t="s">
        <v>49</v>
      </c>
      <c r="E61" s="435" t="s">
        <v>50</v>
      </c>
      <c r="F61" s="436"/>
    </row>
    <row r="62" spans="1:6" s="307" customFormat="1" ht="15.5">
      <c r="A62" s="431">
        <f>SUBTOTAL(103,$C$5:C62)</f>
        <v>58</v>
      </c>
      <c r="B62" s="433"/>
      <c r="C62" s="433" t="s">
        <v>481</v>
      </c>
      <c r="D62" s="437" t="s">
        <v>79</v>
      </c>
      <c r="E62" s="435" t="s">
        <v>50</v>
      </c>
      <c r="F62" s="436"/>
    </row>
    <row r="63" spans="1:6" s="307" customFormat="1" ht="15.5">
      <c r="A63" s="431">
        <f>SUBTOTAL(103,$C$5:C63)</f>
        <v>59</v>
      </c>
      <c r="B63" s="433"/>
      <c r="C63" s="433" t="s">
        <v>482</v>
      </c>
      <c r="D63" s="437" t="s">
        <v>79</v>
      </c>
      <c r="E63" s="435" t="s">
        <v>50</v>
      </c>
      <c r="F63" s="436"/>
    </row>
    <row r="64" spans="1:6" s="307" customFormat="1" ht="15.5">
      <c r="A64" s="431">
        <f>SUBTOTAL(103,$C$5:C64)</f>
        <v>60</v>
      </c>
      <c r="B64" s="433"/>
      <c r="C64" s="433" t="s">
        <v>483</v>
      </c>
      <c r="D64" s="437" t="s">
        <v>154</v>
      </c>
      <c r="E64" s="435" t="s">
        <v>50</v>
      </c>
      <c r="F64" s="436"/>
    </row>
    <row r="65" spans="1:6" s="307" customFormat="1" ht="15.5">
      <c r="A65" s="431">
        <f>SUBTOTAL(103,$C$5:C65)</f>
        <v>61</v>
      </c>
      <c r="B65" s="432" t="s">
        <v>543</v>
      </c>
      <c r="C65" s="438" t="s">
        <v>493</v>
      </c>
      <c r="D65" s="437" t="s">
        <v>227</v>
      </c>
      <c r="E65" s="435" t="s">
        <v>50</v>
      </c>
      <c r="F65" s="436"/>
    </row>
    <row r="66" spans="1:6" s="307" customFormat="1" ht="15.5">
      <c r="A66" s="431">
        <f>SUBTOTAL(103,$C$5:C66)</f>
        <v>62</v>
      </c>
      <c r="B66" s="433"/>
      <c r="C66" s="433" t="s">
        <v>494</v>
      </c>
      <c r="D66" s="437" t="s">
        <v>170</v>
      </c>
      <c r="E66" s="435" t="s">
        <v>50</v>
      </c>
      <c r="F66" s="436"/>
    </row>
    <row r="67" spans="1:6" s="307" customFormat="1" ht="15.5">
      <c r="A67" s="431">
        <f>SUBTOTAL(103,$C$5:C67)</f>
        <v>63</v>
      </c>
      <c r="B67" s="433"/>
      <c r="C67" s="433" t="s">
        <v>495</v>
      </c>
      <c r="D67" s="437" t="s">
        <v>2</v>
      </c>
      <c r="E67" s="435" t="s">
        <v>50</v>
      </c>
      <c r="F67" s="436"/>
    </row>
    <row r="68" spans="1:6" s="307" customFormat="1" ht="15.5">
      <c r="A68" s="431">
        <f>SUBTOTAL(103,$C$5:C68)</f>
        <v>64</v>
      </c>
      <c r="B68" s="433"/>
      <c r="C68" s="433" t="s">
        <v>496</v>
      </c>
      <c r="D68" s="437" t="s">
        <v>2</v>
      </c>
      <c r="E68" s="435" t="s">
        <v>50</v>
      </c>
      <c r="F68" s="436"/>
    </row>
    <row r="69" spans="1:6" s="307" customFormat="1" ht="15.5">
      <c r="A69" s="431">
        <f>SUBTOTAL(103,$C$5:C69)</f>
        <v>65</v>
      </c>
      <c r="B69" s="433"/>
      <c r="C69" s="433" t="s">
        <v>497</v>
      </c>
      <c r="D69" s="437" t="s">
        <v>2</v>
      </c>
      <c r="E69" s="435" t="s">
        <v>50</v>
      </c>
      <c r="F69" s="436"/>
    </row>
    <row r="70" spans="1:6" s="307" customFormat="1" ht="15.5">
      <c r="A70" s="431">
        <f>SUBTOTAL(103,$C$5:C70)</f>
        <v>66</v>
      </c>
      <c r="B70" s="433"/>
      <c r="C70" s="433" t="s">
        <v>498</v>
      </c>
      <c r="D70" s="437" t="s">
        <v>2</v>
      </c>
      <c r="E70" s="435" t="s">
        <v>50</v>
      </c>
      <c r="F70" s="436"/>
    </row>
    <row r="71" spans="1:6" s="307" customFormat="1" ht="15.5">
      <c r="A71" s="431">
        <f>SUBTOTAL(103,$C$5:C71)</f>
        <v>67</v>
      </c>
      <c r="B71" s="432" t="s">
        <v>544</v>
      </c>
      <c r="C71" s="438" t="s">
        <v>262</v>
      </c>
      <c r="D71" s="437" t="s">
        <v>197</v>
      </c>
      <c r="E71" s="435" t="s">
        <v>50</v>
      </c>
      <c r="F71" s="436"/>
    </row>
    <row r="72" spans="1:6" s="307" customFormat="1" ht="15.5">
      <c r="A72" s="431">
        <f>SUBTOTAL(103,$C$5:C72)</f>
        <v>68</v>
      </c>
      <c r="B72" s="433"/>
      <c r="C72" s="433" t="s">
        <v>392</v>
      </c>
      <c r="D72" s="437" t="s">
        <v>4</v>
      </c>
      <c r="E72" s="435" t="s">
        <v>50</v>
      </c>
      <c r="F72" s="436"/>
    </row>
    <row r="73" spans="1:6" s="307" customFormat="1" ht="15.5">
      <c r="A73" s="431">
        <f>SUBTOTAL(103,$C$5:C73)</f>
        <v>69</v>
      </c>
      <c r="B73" s="433"/>
      <c r="C73" s="433" t="s">
        <v>393</v>
      </c>
      <c r="D73" s="437" t="s">
        <v>79</v>
      </c>
      <c r="E73" s="435" t="s">
        <v>50</v>
      </c>
      <c r="F73" s="436"/>
    </row>
    <row r="74" spans="1:6" s="307" customFormat="1" ht="15.5">
      <c r="A74" s="431">
        <f>SUBTOTAL(103,$C$5:C74)</f>
        <v>70</v>
      </c>
      <c r="B74" s="433"/>
      <c r="C74" s="433" t="s">
        <v>394</v>
      </c>
      <c r="D74" s="437" t="s">
        <v>49</v>
      </c>
      <c r="E74" s="435" t="s">
        <v>50</v>
      </c>
      <c r="F74" s="436"/>
    </row>
    <row r="75" spans="1:6" s="307" customFormat="1" ht="15.5">
      <c r="A75" s="431">
        <f>SUBTOTAL(103,$C$5:C75)</f>
        <v>71</v>
      </c>
      <c r="B75" s="433"/>
      <c r="C75" s="433" t="s">
        <v>395</v>
      </c>
      <c r="D75" s="437" t="s">
        <v>79</v>
      </c>
      <c r="E75" s="435" t="s">
        <v>50</v>
      </c>
      <c r="F75" s="436"/>
    </row>
    <row r="76" spans="1:6" s="307" customFormat="1" ht="15.5">
      <c r="A76" s="431">
        <f>SUBTOTAL(103,$C$5:C76)</f>
        <v>72</v>
      </c>
      <c r="B76" s="433"/>
      <c r="C76" s="433" t="s">
        <v>396</v>
      </c>
      <c r="D76" s="437" t="s">
        <v>49</v>
      </c>
      <c r="E76" s="435" t="s">
        <v>50</v>
      </c>
      <c r="F76" s="436"/>
    </row>
    <row r="77" spans="1:6" s="307" customFormat="1" ht="15.5">
      <c r="A77" s="431">
        <f>SUBTOTAL(103,$C$5:C77)</f>
        <v>73</v>
      </c>
      <c r="B77" s="433"/>
      <c r="C77" s="433" t="s">
        <v>397</v>
      </c>
      <c r="D77" s="437" t="s">
        <v>2</v>
      </c>
      <c r="E77" s="435" t="s">
        <v>50</v>
      </c>
      <c r="F77" s="436"/>
    </row>
    <row r="78" spans="1:6" s="307" customFormat="1" ht="15.5">
      <c r="A78" s="431">
        <f>SUBTOTAL(103,$C$5:C78)</f>
        <v>74</v>
      </c>
      <c r="B78" s="433"/>
      <c r="C78" s="433" t="s">
        <v>398</v>
      </c>
      <c r="D78" s="437" t="s">
        <v>2</v>
      </c>
      <c r="E78" s="435" t="s">
        <v>50</v>
      </c>
      <c r="F78" s="436"/>
    </row>
    <row r="79" spans="1:6" s="307" customFormat="1" ht="15.5">
      <c r="A79" s="431">
        <f>SUBTOTAL(103,$C$5:C79)</f>
        <v>75</v>
      </c>
      <c r="B79" s="433"/>
      <c r="C79" s="433" t="s">
        <v>399</v>
      </c>
      <c r="D79" s="437" t="s">
        <v>49</v>
      </c>
      <c r="E79" s="435" t="s">
        <v>50</v>
      </c>
      <c r="F79" s="436"/>
    </row>
    <row r="80" spans="1:6" s="307" customFormat="1" ht="15.5">
      <c r="A80" s="431">
        <f>SUBTOTAL(103,$C$5:C80)</f>
        <v>76</v>
      </c>
      <c r="B80" s="433"/>
      <c r="C80" s="433" t="s">
        <v>400</v>
      </c>
      <c r="D80" s="437" t="s">
        <v>2</v>
      </c>
      <c r="E80" s="435" t="s">
        <v>50</v>
      </c>
      <c r="F80" s="436"/>
    </row>
    <row r="81" spans="1:6" s="307" customFormat="1" ht="15.5">
      <c r="A81" s="431">
        <f>SUBTOTAL(103,$C$5:C81)</f>
        <v>77</v>
      </c>
      <c r="B81" s="433"/>
      <c r="C81" s="433" t="s">
        <v>401</v>
      </c>
      <c r="D81" s="437" t="s">
        <v>3</v>
      </c>
      <c r="E81" s="435" t="s">
        <v>50</v>
      </c>
      <c r="F81" s="436"/>
    </row>
    <row r="82" spans="1:6" s="307" customFormat="1" ht="15.5">
      <c r="A82" s="431">
        <f>SUBTOTAL(103,$C$5:C82)</f>
        <v>78</v>
      </c>
      <c r="B82" s="433"/>
      <c r="C82" s="433" t="s">
        <v>402</v>
      </c>
      <c r="D82" s="437" t="s">
        <v>49</v>
      </c>
      <c r="E82" s="435" t="s">
        <v>50</v>
      </c>
      <c r="F82" s="436"/>
    </row>
    <row r="83" spans="1:6" s="307" customFormat="1" ht="15.5">
      <c r="A83" s="431">
        <f>SUBTOTAL(103,$C$5:C83)</f>
        <v>79</v>
      </c>
      <c r="B83" s="432" t="s">
        <v>545</v>
      </c>
      <c r="C83" s="433" t="s">
        <v>484</v>
      </c>
      <c r="D83" s="437" t="s">
        <v>403</v>
      </c>
      <c r="E83" s="435" t="s">
        <v>50</v>
      </c>
      <c r="F83" s="436"/>
    </row>
    <row r="84" spans="1:6" s="307" customFormat="1" ht="15.5">
      <c r="A84" s="431">
        <f>SUBTOTAL(103,$C$5:C84)</f>
        <v>80</v>
      </c>
      <c r="B84" s="432" t="s">
        <v>546</v>
      </c>
      <c r="C84" s="433" t="s">
        <v>263</v>
      </c>
      <c r="D84" s="437" t="s">
        <v>403</v>
      </c>
      <c r="E84" s="435" t="s">
        <v>50</v>
      </c>
      <c r="F84" s="436"/>
    </row>
    <row r="85" spans="1:6" s="307" customFormat="1" ht="15.5">
      <c r="A85" s="431">
        <f>SUBTOTAL(103,$C$5:C85)</f>
        <v>81</v>
      </c>
      <c r="B85" s="433"/>
      <c r="C85" s="433" t="s">
        <v>404</v>
      </c>
      <c r="D85" s="437" t="s">
        <v>2</v>
      </c>
      <c r="E85" s="435" t="s">
        <v>50</v>
      </c>
      <c r="F85" s="436"/>
    </row>
    <row r="86" spans="1:6" s="307" customFormat="1" ht="15.5">
      <c r="A86" s="431">
        <f>SUBTOTAL(103,$C$5:C86)</f>
        <v>82</v>
      </c>
      <c r="B86" s="433"/>
      <c r="C86" s="433" t="s">
        <v>406</v>
      </c>
      <c r="D86" s="437" t="s">
        <v>2</v>
      </c>
      <c r="E86" s="435" t="s">
        <v>50</v>
      </c>
      <c r="F86" s="436"/>
    </row>
    <row r="87" spans="1:6" s="307" customFormat="1" ht="15.5">
      <c r="A87" s="431">
        <f>SUBTOTAL(103,$C$5:C87)</f>
        <v>83</v>
      </c>
      <c r="B87" s="433"/>
      <c r="C87" s="433" t="s">
        <v>407</v>
      </c>
      <c r="D87" s="437" t="s">
        <v>3</v>
      </c>
      <c r="E87" s="435" t="s">
        <v>50</v>
      </c>
      <c r="F87" s="436"/>
    </row>
    <row r="88" spans="1:6" s="307" customFormat="1" ht="15.5">
      <c r="A88" s="431">
        <f>SUBTOTAL(103,$C$5:C88)</f>
        <v>84</v>
      </c>
      <c r="B88" s="433"/>
      <c r="C88" s="433" t="s">
        <v>370</v>
      </c>
      <c r="D88" s="437" t="s">
        <v>79</v>
      </c>
      <c r="E88" s="435" t="s">
        <v>50</v>
      </c>
      <c r="F88" s="436"/>
    </row>
    <row r="89" spans="1:6" s="307" customFormat="1" ht="15.5">
      <c r="A89" s="431">
        <f>SUBTOTAL(103,$C$5:C89)</f>
        <v>85</v>
      </c>
      <c r="B89" s="433"/>
      <c r="C89" s="433" t="s">
        <v>371</v>
      </c>
      <c r="D89" s="437" t="s">
        <v>2</v>
      </c>
      <c r="E89" s="435" t="s">
        <v>50</v>
      </c>
      <c r="F89" s="436"/>
    </row>
    <row r="90" spans="1:6" s="307" customFormat="1" ht="15.5">
      <c r="A90" s="431">
        <f>SUBTOTAL(103,$C$5:C90)</f>
        <v>86</v>
      </c>
      <c r="B90" s="433"/>
      <c r="C90" s="433" t="s">
        <v>372</v>
      </c>
      <c r="D90" s="437" t="s">
        <v>2</v>
      </c>
      <c r="E90" s="435" t="s">
        <v>50</v>
      </c>
      <c r="F90" s="436"/>
    </row>
    <row r="91" spans="1:6" s="307" customFormat="1" ht="15.5">
      <c r="A91" s="431">
        <f>SUBTOTAL(103,$C$5:C91)</f>
        <v>87</v>
      </c>
      <c r="B91" s="433"/>
      <c r="C91" s="433" t="s">
        <v>408</v>
      </c>
      <c r="D91" s="437" t="s">
        <v>49</v>
      </c>
      <c r="E91" s="435" t="s">
        <v>50</v>
      </c>
      <c r="F91" s="436"/>
    </row>
    <row r="92" spans="1:6" s="307" customFormat="1" ht="15.5">
      <c r="A92" s="431">
        <f>SUBTOTAL(103,$C$5:C92)</f>
        <v>88</v>
      </c>
      <c r="B92" s="433"/>
      <c r="C92" s="433" t="s">
        <v>409</v>
      </c>
      <c r="D92" s="437" t="s">
        <v>3</v>
      </c>
      <c r="E92" s="435" t="s">
        <v>50</v>
      </c>
      <c r="F92" s="436"/>
    </row>
    <row r="93" spans="1:6" s="307" customFormat="1" ht="15.5">
      <c r="A93" s="431">
        <f>SUBTOTAL(103,$C$5:C93)</f>
        <v>89</v>
      </c>
      <c r="B93" s="433"/>
      <c r="C93" s="433" t="s">
        <v>410</v>
      </c>
      <c r="D93" s="437" t="s">
        <v>3</v>
      </c>
      <c r="E93" s="435" t="s">
        <v>50</v>
      </c>
      <c r="F93" s="436"/>
    </row>
    <row r="94" spans="1:6" s="307" customFormat="1" ht="15.5">
      <c r="A94" s="431">
        <f>SUBTOTAL(103,$C$5:C94)</f>
        <v>90</v>
      </c>
      <c r="B94" s="433"/>
      <c r="C94" s="433" t="s">
        <v>411</v>
      </c>
      <c r="D94" s="437" t="s">
        <v>2</v>
      </c>
      <c r="E94" s="435" t="s">
        <v>50</v>
      </c>
      <c r="F94" s="436"/>
    </row>
    <row r="95" spans="1:6" s="307" customFormat="1" ht="15.5">
      <c r="A95" s="431">
        <f>SUBTOTAL(103,$C$5:C95)</f>
        <v>91</v>
      </c>
      <c r="B95" s="433"/>
      <c r="C95" s="433" t="s">
        <v>412</v>
      </c>
      <c r="D95" s="437" t="s">
        <v>2</v>
      </c>
      <c r="E95" s="435" t="s">
        <v>50</v>
      </c>
      <c r="F95" s="436"/>
    </row>
    <row r="96" spans="1:6" s="307" customFormat="1" ht="15.5">
      <c r="A96" s="431">
        <f>SUBTOTAL(103,$C$5:C96)</f>
        <v>92</v>
      </c>
      <c r="B96" s="432" t="s">
        <v>547</v>
      </c>
      <c r="C96" s="433" t="s">
        <v>264</v>
      </c>
      <c r="D96" s="437" t="s">
        <v>227</v>
      </c>
      <c r="E96" s="435" t="s">
        <v>50</v>
      </c>
      <c r="F96" s="436"/>
    </row>
    <row r="97" spans="1:6" s="307" customFormat="1" ht="15.5">
      <c r="A97" s="431">
        <f>SUBTOTAL(103,$C$5:C97)</f>
        <v>93</v>
      </c>
      <c r="B97" s="433"/>
      <c r="C97" s="433" t="s">
        <v>413</v>
      </c>
      <c r="D97" s="437" t="s">
        <v>2</v>
      </c>
      <c r="E97" s="435" t="s">
        <v>50</v>
      </c>
      <c r="F97" s="436"/>
    </row>
    <row r="98" spans="1:6" s="307" customFormat="1" ht="15.5">
      <c r="A98" s="431">
        <f>SUBTOTAL(103,$C$5:C98)</f>
        <v>94</v>
      </c>
      <c r="B98" s="433"/>
      <c r="C98" s="433" t="s">
        <v>414</v>
      </c>
      <c r="D98" s="437" t="s">
        <v>2</v>
      </c>
      <c r="E98" s="435" t="s">
        <v>50</v>
      </c>
      <c r="F98" s="436"/>
    </row>
    <row r="99" spans="1:6" s="307" customFormat="1" ht="15.5">
      <c r="A99" s="431">
        <f>SUBTOTAL(103,$C$5:C99)</f>
        <v>95</v>
      </c>
      <c r="B99" s="432" t="s">
        <v>548</v>
      </c>
      <c r="C99" s="433" t="s">
        <v>265</v>
      </c>
      <c r="D99" s="437" t="s">
        <v>178</v>
      </c>
      <c r="E99" s="435" t="s">
        <v>655</v>
      </c>
      <c r="F99" s="436" t="s">
        <v>1070</v>
      </c>
    </row>
    <row r="100" spans="1:6" s="307" customFormat="1" ht="15.5">
      <c r="A100" s="431">
        <f>SUBTOTAL(103,$C$5:C100)</f>
        <v>96</v>
      </c>
      <c r="B100" s="432" t="s">
        <v>549</v>
      </c>
      <c r="C100" s="433" t="s">
        <v>266</v>
      </c>
      <c r="D100" s="437" t="s">
        <v>211</v>
      </c>
      <c r="E100" s="435" t="s">
        <v>1176</v>
      </c>
      <c r="F100" s="436" t="s">
        <v>1069</v>
      </c>
    </row>
    <row r="101" spans="1:6" s="307" customFormat="1" ht="15.5">
      <c r="A101" s="431">
        <f>SUBTOTAL(103,$C$5:C101)</f>
        <v>97</v>
      </c>
      <c r="B101" s="432" t="s">
        <v>550</v>
      </c>
      <c r="C101" s="433" t="s">
        <v>267</v>
      </c>
      <c r="D101" s="437" t="s">
        <v>209</v>
      </c>
      <c r="E101" s="435" t="s">
        <v>655</v>
      </c>
      <c r="F101" s="436" t="s">
        <v>1069</v>
      </c>
    </row>
    <row r="102" spans="1:6" s="307" customFormat="1" ht="15.5">
      <c r="A102" s="431">
        <f>SUBTOTAL(103,$C$5:C102)</f>
        <v>98</v>
      </c>
      <c r="B102" s="432" t="s">
        <v>656</v>
      </c>
      <c r="C102" s="433" t="s">
        <v>485</v>
      </c>
      <c r="D102" s="437" t="s">
        <v>211</v>
      </c>
      <c r="E102" s="435" t="s">
        <v>50</v>
      </c>
      <c r="F102" s="436"/>
    </row>
    <row r="103" spans="1:6" s="307" customFormat="1" ht="15.5">
      <c r="A103" s="431">
        <f>SUBTOTAL(103,$C$5:C103)</f>
        <v>99</v>
      </c>
      <c r="B103" s="432" t="s">
        <v>551</v>
      </c>
      <c r="C103" s="433" t="s">
        <v>11</v>
      </c>
      <c r="D103" s="437" t="s">
        <v>186</v>
      </c>
      <c r="E103" s="435" t="s">
        <v>655</v>
      </c>
      <c r="F103" s="436" t="s">
        <v>1069</v>
      </c>
    </row>
    <row r="104" spans="1:6" s="307" customFormat="1" ht="15.5">
      <c r="A104" s="431">
        <f>SUBTOTAL(103,$C$5:C104)</f>
        <v>100</v>
      </c>
      <c r="B104" s="432" t="s">
        <v>552</v>
      </c>
      <c r="C104" s="433" t="s">
        <v>167</v>
      </c>
      <c r="D104" s="437" t="s">
        <v>218</v>
      </c>
      <c r="E104" s="435" t="s">
        <v>655</v>
      </c>
      <c r="F104" s="436" t="s">
        <v>1069</v>
      </c>
    </row>
    <row r="105" spans="1:6" s="307" customFormat="1" ht="15.5">
      <c r="A105" s="431">
        <f>SUBTOTAL(103,$C$5:C105)</f>
        <v>101</v>
      </c>
      <c r="B105" s="433"/>
      <c r="C105" s="433" t="s">
        <v>308</v>
      </c>
      <c r="D105" s="437" t="s">
        <v>79</v>
      </c>
      <c r="E105" s="435" t="s">
        <v>50</v>
      </c>
      <c r="F105" s="436"/>
    </row>
    <row r="106" spans="1:6" s="307" customFormat="1" ht="15.5">
      <c r="A106" s="431">
        <f>SUBTOTAL(103,$C$5:C106)</f>
        <v>102</v>
      </c>
      <c r="B106" s="433"/>
      <c r="C106" s="433" t="s">
        <v>415</v>
      </c>
      <c r="D106" s="437" t="s">
        <v>2</v>
      </c>
      <c r="E106" s="435" t="s">
        <v>50</v>
      </c>
      <c r="F106" s="436"/>
    </row>
    <row r="107" spans="1:6" s="307" customFormat="1" ht="15.5">
      <c r="A107" s="431">
        <f>SUBTOTAL(103,$C$5:C107)</f>
        <v>103</v>
      </c>
      <c r="B107" s="433"/>
      <c r="C107" s="433" t="s">
        <v>416</v>
      </c>
      <c r="D107" s="437" t="s">
        <v>2</v>
      </c>
      <c r="E107" s="435" t="s">
        <v>50</v>
      </c>
      <c r="F107" s="436"/>
    </row>
    <row r="108" spans="1:6" s="307" customFormat="1" ht="15.5">
      <c r="A108" s="431">
        <f>SUBTOTAL(103,$C$5:C108)</f>
        <v>104</v>
      </c>
      <c r="B108" s="433"/>
      <c r="C108" s="433" t="s">
        <v>417</v>
      </c>
      <c r="D108" s="437" t="s">
        <v>79</v>
      </c>
      <c r="E108" s="435" t="s">
        <v>50</v>
      </c>
      <c r="F108" s="436"/>
    </row>
    <row r="109" spans="1:6" s="307" customFormat="1" ht="15.5">
      <c r="A109" s="431">
        <f>SUBTOTAL(103,$C$5:C109)</f>
        <v>105</v>
      </c>
      <c r="B109" s="433"/>
      <c r="C109" s="433" t="s">
        <v>418</v>
      </c>
      <c r="D109" s="437" t="s">
        <v>2</v>
      </c>
      <c r="E109" s="435" t="s">
        <v>50</v>
      </c>
      <c r="F109" s="436"/>
    </row>
    <row r="110" spans="1:6" s="307" customFormat="1" ht="15.5">
      <c r="A110" s="431">
        <f>SUBTOTAL(103,$C$5:C110)</f>
        <v>106</v>
      </c>
      <c r="B110" s="433"/>
      <c r="C110" s="433" t="s">
        <v>419</v>
      </c>
      <c r="D110" s="437" t="s">
        <v>49</v>
      </c>
      <c r="E110" s="435" t="s">
        <v>50</v>
      </c>
      <c r="F110" s="436"/>
    </row>
    <row r="111" spans="1:6" s="307" customFormat="1" ht="15.5">
      <c r="A111" s="431">
        <f>SUBTOTAL(103,$C$5:C111)</f>
        <v>107</v>
      </c>
      <c r="B111" s="433"/>
      <c r="C111" s="433" t="s">
        <v>420</v>
      </c>
      <c r="D111" s="437" t="s">
        <v>3</v>
      </c>
      <c r="E111" s="435" t="s">
        <v>50</v>
      </c>
      <c r="F111" s="436"/>
    </row>
    <row r="112" spans="1:6" s="307" customFormat="1" ht="15.5">
      <c r="A112" s="431">
        <f>SUBTOTAL(103,$C$5:C112)</f>
        <v>108</v>
      </c>
      <c r="B112" s="433"/>
      <c r="C112" s="433" t="s">
        <v>421</v>
      </c>
      <c r="D112" s="437" t="s">
        <v>170</v>
      </c>
      <c r="E112" s="435" t="s">
        <v>50</v>
      </c>
      <c r="F112" s="436"/>
    </row>
    <row r="113" spans="1:6" s="307" customFormat="1" ht="15.5">
      <c r="A113" s="431">
        <f>SUBTOTAL(103,$C$5:C113)</f>
        <v>109</v>
      </c>
      <c r="B113" s="433"/>
      <c r="C113" s="433" t="s">
        <v>422</v>
      </c>
      <c r="D113" s="437" t="s">
        <v>3</v>
      </c>
      <c r="E113" s="435" t="s">
        <v>50</v>
      </c>
      <c r="F113" s="436"/>
    </row>
    <row r="114" spans="1:6" s="307" customFormat="1" ht="15.5">
      <c r="A114" s="431">
        <f>SUBTOTAL(103,$C$5:C114)</f>
        <v>110</v>
      </c>
      <c r="B114" s="433"/>
      <c r="C114" s="433" t="s">
        <v>423</v>
      </c>
      <c r="D114" s="437" t="s">
        <v>154</v>
      </c>
      <c r="E114" s="435" t="s">
        <v>50</v>
      </c>
      <c r="F114" s="436"/>
    </row>
    <row r="115" spans="1:6" s="307" customFormat="1" ht="15.5">
      <c r="A115" s="431">
        <f>SUBTOTAL(103,$C$5:C115)</f>
        <v>111</v>
      </c>
      <c r="B115" s="433"/>
      <c r="C115" s="433" t="s">
        <v>424</v>
      </c>
      <c r="D115" s="437" t="s">
        <v>3</v>
      </c>
      <c r="E115" s="435" t="s">
        <v>50</v>
      </c>
      <c r="F115" s="436"/>
    </row>
    <row r="116" spans="1:6" s="307" customFormat="1" ht="15.5">
      <c r="A116" s="431">
        <f>SUBTOTAL(103,$C$5:C116)</f>
        <v>112</v>
      </c>
      <c r="B116" s="433"/>
      <c r="C116" s="433" t="s">
        <v>425</v>
      </c>
      <c r="D116" s="437" t="s">
        <v>79</v>
      </c>
      <c r="E116" s="435" t="s">
        <v>50</v>
      </c>
      <c r="F116" s="436"/>
    </row>
    <row r="117" spans="1:6" s="307" customFormat="1" ht="15.5">
      <c r="A117" s="431">
        <f>SUBTOTAL(103,$C$5:C117)</f>
        <v>113</v>
      </c>
      <c r="B117" s="432" t="s">
        <v>553</v>
      </c>
      <c r="C117" s="433" t="s">
        <v>12</v>
      </c>
      <c r="D117" s="437" t="s">
        <v>173</v>
      </c>
      <c r="E117" s="435" t="s">
        <v>50</v>
      </c>
      <c r="F117" s="436"/>
    </row>
    <row r="118" spans="1:6" s="307" customFormat="1" ht="15.5">
      <c r="A118" s="431">
        <f>SUBTOTAL(103,$C$5:C118)</f>
        <v>114</v>
      </c>
      <c r="B118" s="432" t="s">
        <v>554</v>
      </c>
      <c r="C118" s="433" t="s">
        <v>13</v>
      </c>
      <c r="D118" s="437" t="s">
        <v>217</v>
      </c>
      <c r="E118" s="435" t="s">
        <v>50</v>
      </c>
      <c r="F118" s="436"/>
    </row>
    <row r="119" spans="1:6" s="307" customFormat="1" ht="15.5">
      <c r="A119" s="431">
        <f>SUBTOTAL(103,$C$5:C119)</f>
        <v>115</v>
      </c>
      <c r="B119" s="432" t="s">
        <v>555</v>
      </c>
      <c r="C119" s="433" t="s">
        <v>51</v>
      </c>
      <c r="D119" s="437" t="s">
        <v>229</v>
      </c>
      <c r="E119" s="435" t="s">
        <v>50</v>
      </c>
      <c r="F119" s="436"/>
    </row>
    <row r="120" spans="1:6" s="307" customFormat="1" ht="15.5">
      <c r="A120" s="431">
        <f>SUBTOTAL(103,$C$5:C120)</f>
        <v>116</v>
      </c>
      <c r="B120" s="433"/>
      <c r="C120" s="433" t="s">
        <v>192</v>
      </c>
      <c r="D120" s="437" t="s">
        <v>2</v>
      </c>
      <c r="E120" s="435" t="s">
        <v>50</v>
      </c>
      <c r="F120" s="436"/>
    </row>
    <row r="121" spans="1:6" s="307" customFormat="1" ht="15.5">
      <c r="A121" s="431">
        <f>SUBTOTAL(103,$C$5:C121)</f>
        <v>117</v>
      </c>
      <c r="B121" s="433"/>
      <c r="C121" s="433" t="s">
        <v>193</v>
      </c>
      <c r="D121" s="437" t="s">
        <v>170</v>
      </c>
      <c r="E121" s="435" t="s">
        <v>50</v>
      </c>
      <c r="F121" s="436"/>
    </row>
    <row r="122" spans="1:6" s="307" customFormat="1" ht="15.5">
      <c r="A122" s="431">
        <f>SUBTOTAL(103,$C$5:C122)</f>
        <v>118</v>
      </c>
      <c r="B122" s="433"/>
      <c r="C122" s="433" t="s">
        <v>254</v>
      </c>
      <c r="D122" s="437" t="s">
        <v>79</v>
      </c>
      <c r="E122" s="435" t="s">
        <v>50</v>
      </c>
      <c r="F122" s="436"/>
    </row>
    <row r="123" spans="1:6" s="307" customFormat="1" ht="15.5">
      <c r="A123" s="431">
        <f>SUBTOTAL(103,$C$5:C123)</f>
        <v>119</v>
      </c>
      <c r="B123" s="433"/>
      <c r="C123" s="433" t="s">
        <v>253</v>
      </c>
      <c r="D123" s="437" t="s">
        <v>4</v>
      </c>
      <c r="E123" s="435" t="s">
        <v>50</v>
      </c>
      <c r="F123" s="436"/>
    </row>
    <row r="124" spans="1:6" s="307" customFormat="1" ht="15.5">
      <c r="A124" s="431">
        <f>SUBTOTAL(103,$C$5:C124)</f>
        <v>120</v>
      </c>
      <c r="B124" s="433"/>
      <c r="C124" s="433" t="s">
        <v>252</v>
      </c>
      <c r="D124" s="437" t="s">
        <v>3</v>
      </c>
      <c r="E124" s="435" t="s">
        <v>50</v>
      </c>
      <c r="F124" s="436"/>
    </row>
    <row r="125" spans="1:6" s="307" customFormat="1" ht="15.5">
      <c r="A125" s="431">
        <f>SUBTOTAL(103,$C$5:C125)</f>
        <v>121</v>
      </c>
      <c r="B125" s="433"/>
      <c r="C125" s="433" t="s">
        <v>251</v>
      </c>
      <c r="D125" s="437" t="s">
        <v>49</v>
      </c>
      <c r="E125" s="435" t="s">
        <v>50</v>
      </c>
      <c r="F125" s="436"/>
    </row>
    <row r="126" spans="1:6" s="307" customFormat="1" ht="15.5">
      <c r="A126" s="431">
        <f>SUBTOTAL(103,$C$5:C126)</f>
        <v>122</v>
      </c>
      <c r="B126" s="433"/>
      <c r="C126" s="433" t="s">
        <v>426</v>
      </c>
      <c r="D126" s="437" t="s">
        <v>170</v>
      </c>
      <c r="E126" s="435" t="s">
        <v>50</v>
      </c>
      <c r="F126" s="436"/>
    </row>
    <row r="127" spans="1:6" s="307" customFormat="1" ht="15.5">
      <c r="A127" s="431">
        <f>SUBTOTAL(103,$C$5:C127)</f>
        <v>123</v>
      </c>
      <c r="B127" s="432" t="s">
        <v>556</v>
      </c>
      <c r="C127" s="433" t="s">
        <v>52</v>
      </c>
      <c r="D127" s="437" t="s">
        <v>213</v>
      </c>
      <c r="E127" s="435" t="s">
        <v>655</v>
      </c>
      <c r="F127" s="436" t="s">
        <v>1068</v>
      </c>
    </row>
    <row r="128" spans="1:6" s="307" customFormat="1" ht="15.5">
      <c r="A128" s="431">
        <f>SUBTOTAL(103,$C$5:C128)</f>
        <v>124</v>
      </c>
      <c r="B128" s="432" t="s">
        <v>557</v>
      </c>
      <c r="C128" s="433" t="s">
        <v>53</v>
      </c>
      <c r="D128" s="437" t="s">
        <v>213</v>
      </c>
      <c r="E128" s="435" t="s">
        <v>655</v>
      </c>
      <c r="F128" s="436" t="s">
        <v>1068</v>
      </c>
    </row>
    <row r="129" spans="1:6" s="307" customFormat="1" ht="15.5">
      <c r="A129" s="431">
        <f>SUBTOTAL(103,$C$5:C129)</f>
        <v>125</v>
      </c>
      <c r="B129" s="433"/>
      <c r="C129" s="433" t="s">
        <v>174</v>
      </c>
      <c r="D129" s="437" t="s">
        <v>4</v>
      </c>
      <c r="E129" s="435" t="s">
        <v>50</v>
      </c>
      <c r="F129" s="436"/>
    </row>
    <row r="130" spans="1:6" s="307" customFormat="1" ht="15.5">
      <c r="A130" s="431">
        <f>SUBTOTAL(103,$C$5:C130)</f>
        <v>126</v>
      </c>
      <c r="B130" s="433"/>
      <c r="C130" s="433" t="s">
        <v>175</v>
      </c>
      <c r="D130" s="437" t="s">
        <v>4</v>
      </c>
      <c r="E130" s="435" t="s">
        <v>50</v>
      </c>
      <c r="F130" s="436"/>
    </row>
    <row r="131" spans="1:6" s="307" customFormat="1" ht="15.5">
      <c r="A131" s="431">
        <f>SUBTOTAL(103,$C$5:C131)</f>
        <v>127</v>
      </c>
      <c r="B131" s="433"/>
      <c r="C131" s="433" t="s">
        <v>176</v>
      </c>
      <c r="D131" s="437" t="s">
        <v>170</v>
      </c>
      <c r="E131" s="435" t="s">
        <v>50</v>
      </c>
      <c r="F131" s="436"/>
    </row>
    <row r="132" spans="1:6" s="307" customFormat="1" ht="15.5">
      <c r="A132" s="431">
        <f>SUBTOTAL(103,$C$5:C132)</f>
        <v>128</v>
      </c>
      <c r="B132" s="433"/>
      <c r="C132" s="433" t="s">
        <v>177</v>
      </c>
      <c r="D132" s="437" t="s">
        <v>2</v>
      </c>
      <c r="E132" s="435" t="s">
        <v>50</v>
      </c>
      <c r="F132" s="436"/>
    </row>
    <row r="133" spans="1:6" s="307" customFormat="1" ht="15.5">
      <c r="A133" s="431">
        <f>SUBTOTAL(103,$C$5:C133)</f>
        <v>129</v>
      </c>
      <c r="B133" s="433"/>
      <c r="C133" s="433" t="s">
        <v>427</v>
      </c>
      <c r="D133" s="437" t="s">
        <v>3</v>
      </c>
      <c r="E133" s="435" t="s">
        <v>50</v>
      </c>
      <c r="F133" s="436"/>
    </row>
    <row r="134" spans="1:6" s="307" customFormat="1" ht="15.5">
      <c r="A134" s="431">
        <f>SUBTOTAL(103,$C$5:C134)</f>
        <v>130</v>
      </c>
      <c r="B134" s="433"/>
      <c r="C134" s="433" t="s">
        <v>428</v>
      </c>
      <c r="D134" s="437" t="s">
        <v>4</v>
      </c>
      <c r="E134" s="435" t="s">
        <v>50</v>
      </c>
      <c r="F134" s="436"/>
    </row>
    <row r="135" spans="1:6" s="307" customFormat="1" ht="15.5">
      <c r="A135" s="431">
        <f>SUBTOTAL(103,$C$5:C135)</f>
        <v>131</v>
      </c>
      <c r="B135" s="432" t="s">
        <v>558</v>
      </c>
      <c r="C135" s="433" t="s">
        <v>54</v>
      </c>
      <c r="D135" s="437" t="s">
        <v>197</v>
      </c>
      <c r="E135" s="435" t="s">
        <v>50</v>
      </c>
      <c r="F135" s="436"/>
    </row>
    <row r="136" spans="1:6" s="307" customFormat="1" ht="15.5">
      <c r="A136" s="431">
        <f>SUBTOTAL(103,$C$5:C136)</f>
        <v>132</v>
      </c>
      <c r="B136" s="433"/>
      <c r="C136" s="433" t="s">
        <v>179</v>
      </c>
      <c r="D136" s="437" t="s">
        <v>3</v>
      </c>
      <c r="E136" s="435" t="s">
        <v>50</v>
      </c>
      <c r="F136" s="436"/>
    </row>
    <row r="137" spans="1:6" s="307" customFormat="1" ht="15.5">
      <c r="A137" s="431">
        <f>SUBTOTAL(103,$C$5:C137)</f>
        <v>133</v>
      </c>
      <c r="B137" s="433"/>
      <c r="C137" s="433" t="s">
        <v>180</v>
      </c>
      <c r="D137" s="437" t="s">
        <v>79</v>
      </c>
      <c r="E137" s="435" t="s">
        <v>50</v>
      </c>
      <c r="F137" s="436"/>
    </row>
    <row r="138" spans="1:6" s="307" customFormat="1" ht="15.5">
      <c r="A138" s="431">
        <f>SUBTOTAL(103,$C$5:C138)</f>
        <v>134</v>
      </c>
      <c r="B138" s="433"/>
      <c r="C138" s="433" t="s">
        <v>181</v>
      </c>
      <c r="D138" s="437" t="s">
        <v>79</v>
      </c>
      <c r="E138" s="435" t="s">
        <v>50</v>
      </c>
      <c r="F138" s="436"/>
    </row>
    <row r="139" spans="1:6" s="307" customFormat="1" ht="15.5">
      <c r="A139" s="431">
        <f>SUBTOTAL(103,$C$5:C139)</f>
        <v>135</v>
      </c>
      <c r="B139" s="433"/>
      <c r="C139" s="433" t="s">
        <v>182</v>
      </c>
      <c r="D139" s="437" t="s">
        <v>3</v>
      </c>
      <c r="E139" s="435" t="s">
        <v>50</v>
      </c>
      <c r="F139" s="436"/>
    </row>
    <row r="140" spans="1:6" s="307" customFormat="1" ht="15.5">
      <c r="A140" s="431">
        <f>SUBTOTAL(103,$C$5:C140)</f>
        <v>136</v>
      </c>
      <c r="B140" s="433"/>
      <c r="C140" s="433" t="s">
        <v>429</v>
      </c>
      <c r="D140" s="437" t="s">
        <v>3</v>
      </c>
      <c r="E140" s="435" t="s">
        <v>50</v>
      </c>
      <c r="F140" s="436"/>
    </row>
    <row r="141" spans="1:6" s="307" customFormat="1" ht="15.5">
      <c r="A141" s="431">
        <f>SUBTOTAL(103,$C$5:C141)</f>
        <v>137</v>
      </c>
      <c r="B141" s="432" t="s">
        <v>559</v>
      </c>
      <c r="C141" s="433" t="s">
        <v>55</v>
      </c>
      <c r="D141" s="437" t="s">
        <v>430</v>
      </c>
      <c r="E141" s="435" t="s">
        <v>50</v>
      </c>
      <c r="F141" s="436" t="s">
        <v>1069</v>
      </c>
    </row>
    <row r="142" spans="1:6" s="307" customFormat="1" ht="15.5">
      <c r="A142" s="431">
        <f>SUBTOTAL(103,$C$5:C142)</f>
        <v>138</v>
      </c>
      <c r="B142" s="432" t="s">
        <v>560</v>
      </c>
      <c r="C142" s="433" t="s">
        <v>56</v>
      </c>
      <c r="D142" s="437" t="s">
        <v>215</v>
      </c>
      <c r="E142" s="435" t="s">
        <v>50</v>
      </c>
      <c r="F142" s="436" t="s">
        <v>1069</v>
      </c>
    </row>
    <row r="143" spans="1:6" s="307" customFormat="1" ht="15.5">
      <c r="A143" s="431">
        <f>SUBTOTAL(103,$C$5:C143)</f>
        <v>139</v>
      </c>
      <c r="B143" s="432" t="s">
        <v>675</v>
      </c>
      <c r="C143" s="433" t="s">
        <v>676</v>
      </c>
      <c r="D143" s="437" t="s">
        <v>211</v>
      </c>
      <c r="E143" s="435" t="s">
        <v>50</v>
      </c>
      <c r="F143" s="436"/>
    </row>
    <row r="144" spans="1:6" s="307" customFormat="1" ht="15.5">
      <c r="A144" s="431">
        <f>SUBTOTAL(103,$C$5:C144)</f>
        <v>140</v>
      </c>
      <c r="B144" s="432" t="s">
        <v>561</v>
      </c>
      <c r="C144" s="433" t="s">
        <v>57</v>
      </c>
      <c r="D144" s="437" t="s">
        <v>186</v>
      </c>
      <c r="E144" s="435" t="s">
        <v>50</v>
      </c>
      <c r="F144" s="436" t="s">
        <v>1069</v>
      </c>
    </row>
    <row r="145" spans="1:6" s="307" customFormat="1" ht="15.5">
      <c r="A145" s="431">
        <f>SUBTOTAL(103,$C$5:C145)</f>
        <v>141</v>
      </c>
      <c r="B145" s="432" t="s">
        <v>562</v>
      </c>
      <c r="C145" s="433" t="s">
        <v>58</v>
      </c>
      <c r="D145" s="437" t="s">
        <v>186</v>
      </c>
      <c r="E145" s="435" t="s">
        <v>50</v>
      </c>
      <c r="F145" s="436" t="s">
        <v>1069</v>
      </c>
    </row>
    <row r="146" spans="1:6" s="307" customFormat="1" ht="15.5">
      <c r="A146" s="431">
        <f>SUBTOTAL(103,$C$5:C146)</f>
        <v>142</v>
      </c>
      <c r="B146" s="432" t="s">
        <v>563</v>
      </c>
      <c r="C146" s="433" t="s">
        <v>59</v>
      </c>
      <c r="D146" s="437" t="s">
        <v>431</v>
      </c>
      <c r="E146" s="435" t="s">
        <v>50</v>
      </c>
      <c r="F146" s="436" t="s">
        <v>1069</v>
      </c>
    </row>
    <row r="147" spans="1:6" s="307" customFormat="1" ht="15.5">
      <c r="A147" s="431">
        <f>SUBTOTAL(103,$C$5:C147)</f>
        <v>143</v>
      </c>
      <c r="B147" s="432" t="s">
        <v>564</v>
      </c>
      <c r="C147" s="433" t="s">
        <v>60</v>
      </c>
      <c r="D147" s="437" t="s">
        <v>431</v>
      </c>
      <c r="E147" s="435" t="s">
        <v>50</v>
      </c>
      <c r="F147" s="436" t="s">
        <v>1069</v>
      </c>
    </row>
    <row r="148" spans="1:6" s="307" customFormat="1" ht="15.5">
      <c r="A148" s="431">
        <f>SUBTOTAL(103,$C$5:C148)</f>
        <v>144</v>
      </c>
      <c r="B148" s="433"/>
      <c r="C148" s="433" t="s">
        <v>61</v>
      </c>
      <c r="D148" s="437" t="s">
        <v>49</v>
      </c>
      <c r="E148" s="435" t="s">
        <v>50</v>
      </c>
      <c r="F148" s="436"/>
    </row>
    <row r="149" spans="1:6" s="307" customFormat="1" ht="15.5">
      <c r="A149" s="431">
        <f>SUBTOTAL(103,$C$5:C149)</f>
        <v>145</v>
      </c>
      <c r="B149" s="439"/>
      <c r="C149" s="433" t="s">
        <v>62</v>
      </c>
      <c r="D149" s="437" t="s">
        <v>154</v>
      </c>
      <c r="E149" s="435" t="s">
        <v>50</v>
      </c>
      <c r="F149" s="436"/>
    </row>
    <row r="150" spans="1:6" s="307" customFormat="1" ht="15.5">
      <c r="A150" s="431">
        <f>SUBTOTAL(103,$C$5:C150)</f>
        <v>146</v>
      </c>
      <c r="B150" s="433"/>
      <c r="C150" s="433" t="s">
        <v>153</v>
      </c>
      <c r="D150" s="437" t="s">
        <v>170</v>
      </c>
      <c r="E150" s="435" t="s">
        <v>50</v>
      </c>
      <c r="F150" s="436"/>
    </row>
    <row r="151" spans="1:6" s="307" customFormat="1" ht="15.5">
      <c r="A151" s="431">
        <f>SUBTOTAL(103,$C$5:C151)</f>
        <v>147</v>
      </c>
      <c r="B151" s="433"/>
      <c r="C151" s="433" t="s">
        <v>155</v>
      </c>
      <c r="D151" s="437" t="s">
        <v>170</v>
      </c>
      <c r="E151" s="435" t="s">
        <v>50</v>
      </c>
      <c r="F151" s="436"/>
    </row>
    <row r="152" spans="1:6" s="307" customFormat="1" ht="15.5">
      <c r="A152" s="431">
        <f>SUBTOTAL(103,$C$5:C152)</f>
        <v>148</v>
      </c>
      <c r="B152" s="433"/>
      <c r="C152" s="433" t="s">
        <v>156</v>
      </c>
      <c r="D152" s="437" t="s">
        <v>154</v>
      </c>
      <c r="E152" s="435" t="s">
        <v>50</v>
      </c>
      <c r="F152" s="436"/>
    </row>
    <row r="153" spans="1:6" s="307" customFormat="1" ht="15.5">
      <c r="A153" s="431">
        <f>SUBTOTAL(103,$C$5:C153)</f>
        <v>149</v>
      </c>
      <c r="B153" s="433"/>
      <c r="C153" s="433" t="s">
        <v>162</v>
      </c>
      <c r="D153" s="437" t="s">
        <v>4</v>
      </c>
      <c r="E153" s="435" t="s">
        <v>50</v>
      </c>
      <c r="F153" s="436"/>
    </row>
    <row r="154" spans="1:6" s="307" customFormat="1" ht="15.5">
      <c r="A154" s="431">
        <f>SUBTOTAL(103,$C$5:C154)</f>
        <v>150</v>
      </c>
      <c r="B154" s="432" t="s">
        <v>565</v>
      </c>
      <c r="C154" s="433" t="s">
        <v>63</v>
      </c>
      <c r="D154" s="437" t="s">
        <v>250</v>
      </c>
      <c r="E154" s="435" t="s">
        <v>655</v>
      </c>
      <c r="F154" s="436" t="s">
        <v>1070</v>
      </c>
    </row>
    <row r="155" spans="1:6" s="307" customFormat="1" ht="15.5">
      <c r="A155" s="431">
        <f>SUBTOTAL(103,$C$5:C155)</f>
        <v>151</v>
      </c>
      <c r="B155" s="432" t="s">
        <v>566</v>
      </c>
      <c r="C155" s="433" t="s">
        <v>64</v>
      </c>
      <c r="D155" s="437" t="s">
        <v>185</v>
      </c>
      <c r="E155" s="435" t="s">
        <v>655</v>
      </c>
      <c r="F155" s="436" t="s">
        <v>1070</v>
      </c>
    </row>
    <row r="156" spans="1:6" s="307" customFormat="1" ht="15.5">
      <c r="A156" s="431">
        <f>SUBTOTAL(103,$C$5:C156)</f>
        <v>152</v>
      </c>
      <c r="B156" s="433"/>
      <c r="C156" s="433" t="s">
        <v>432</v>
      </c>
      <c r="D156" s="437" t="s">
        <v>79</v>
      </c>
      <c r="E156" s="435" t="s">
        <v>50</v>
      </c>
      <c r="F156" s="436"/>
    </row>
    <row r="157" spans="1:6" s="307" customFormat="1" ht="15.5">
      <c r="A157" s="431">
        <f>SUBTOTAL(103,$C$5:C157)</f>
        <v>153</v>
      </c>
      <c r="B157" s="433"/>
      <c r="C157" s="433" t="s">
        <v>433</v>
      </c>
      <c r="D157" s="437" t="s">
        <v>3</v>
      </c>
      <c r="E157" s="435" t="s">
        <v>50</v>
      </c>
      <c r="F157" s="436"/>
    </row>
    <row r="158" spans="1:6" s="307" customFormat="1" ht="15.5">
      <c r="A158" s="431">
        <f>SUBTOTAL(103,$C$5:C158)</f>
        <v>154</v>
      </c>
      <c r="B158" s="433"/>
      <c r="C158" s="433" t="s">
        <v>434</v>
      </c>
      <c r="D158" s="437" t="s">
        <v>3</v>
      </c>
      <c r="E158" s="435" t="s">
        <v>50</v>
      </c>
      <c r="F158" s="436"/>
    </row>
    <row r="159" spans="1:6" s="307" customFormat="1" ht="15.5">
      <c r="A159" s="431">
        <f>SUBTOTAL(103,$C$5:C159)</f>
        <v>155</v>
      </c>
      <c r="B159" s="433"/>
      <c r="C159" s="433" t="s">
        <v>435</v>
      </c>
      <c r="D159" s="437" t="s">
        <v>2</v>
      </c>
      <c r="E159" s="435" t="s">
        <v>50</v>
      </c>
      <c r="F159" s="436"/>
    </row>
    <row r="160" spans="1:6" s="307" customFormat="1" ht="15.5">
      <c r="A160" s="431">
        <f>SUBTOTAL(103,$C$5:C160)</f>
        <v>156</v>
      </c>
      <c r="B160" s="433"/>
      <c r="C160" s="433" t="s">
        <v>436</v>
      </c>
      <c r="D160" s="437" t="s">
        <v>3</v>
      </c>
      <c r="E160" s="435" t="s">
        <v>50</v>
      </c>
      <c r="F160" s="436"/>
    </row>
    <row r="161" spans="1:6" s="307" customFormat="1" ht="15.5">
      <c r="A161" s="431">
        <f>SUBTOTAL(103,$C$5:C161)</f>
        <v>157</v>
      </c>
      <c r="B161" s="432" t="s">
        <v>899</v>
      </c>
      <c r="C161" s="433" t="s">
        <v>900</v>
      </c>
      <c r="D161" s="437" t="s">
        <v>197</v>
      </c>
      <c r="E161" s="435" t="s">
        <v>50</v>
      </c>
      <c r="F161" s="436"/>
    </row>
    <row r="162" spans="1:6" s="307" customFormat="1" ht="15.5">
      <c r="A162" s="431">
        <f>SUBTOTAL(103,$C$5:C162)</f>
        <v>158</v>
      </c>
      <c r="B162" s="433"/>
      <c r="C162" s="433" t="s">
        <v>901</v>
      </c>
      <c r="D162" s="437" t="s">
        <v>79</v>
      </c>
      <c r="E162" s="435" t="s">
        <v>50</v>
      </c>
      <c r="F162" s="436"/>
    </row>
    <row r="163" spans="1:6" s="307" customFormat="1" ht="15.5">
      <c r="A163" s="431">
        <f>SUBTOTAL(103,$C$5:C163)</f>
        <v>159</v>
      </c>
      <c r="B163" s="433"/>
      <c r="C163" s="433" t="s">
        <v>902</v>
      </c>
      <c r="D163" s="437" t="s">
        <v>79</v>
      </c>
      <c r="E163" s="435" t="s">
        <v>50</v>
      </c>
      <c r="F163" s="436"/>
    </row>
    <row r="164" spans="1:6" s="307" customFormat="1" ht="15.5">
      <c r="A164" s="431">
        <f>SUBTOTAL(103,$C$5:C164)</f>
        <v>160</v>
      </c>
      <c r="B164" s="433"/>
      <c r="C164" s="433" t="s">
        <v>903</v>
      </c>
      <c r="D164" s="437" t="s">
        <v>79</v>
      </c>
      <c r="E164" s="435" t="s">
        <v>50</v>
      </c>
      <c r="F164" s="436"/>
    </row>
    <row r="165" spans="1:6" s="307" customFormat="1" ht="15.5">
      <c r="A165" s="431">
        <f>SUBTOTAL(103,$C$5:C165)</f>
        <v>161</v>
      </c>
      <c r="B165" s="433"/>
      <c r="C165" s="433" t="s">
        <v>904</v>
      </c>
      <c r="D165" s="437" t="s">
        <v>2</v>
      </c>
      <c r="E165" s="435" t="s">
        <v>50</v>
      </c>
      <c r="F165" s="436"/>
    </row>
    <row r="166" spans="1:6" s="307" customFormat="1" ht="15.5">
      <c r="A166" s="431">
        <f>SUBTOTAL(103,$C$5:C166)</f>
        <v>162</v>
      </c>
      <c r="B166" s="433"/>
      <c r="C166" s="527" t="s">
        <v>905</v>
      </c>
      <c r="D166" s="528" t="s">
        <v>79</v>
      </c>
      <c r="E166" s="435" t="s">
        <v>50</v>
      </c>
      <c r="F166" s="436"/>
    </row>
    <row r="167" spans="1:6" s="307" customFormat="1" ht="15.5">
      <c r="A167" s="431">
        <f>SUBTOTAL(103,$C$5:C167)</f>
        <v>163</v>
      </c>
      <c r="B167" s="433"/>
      <c r="C167" s="433" t="s">
        <v>906</v>
      </c>
      <c r="D167" s="437" t="s">
        <v>49</v>
      </c>
      <c r="E167" s="435" t="s">
        <v>50</v>
      </c>
      <c r="F167" s="436"/>
    </row>
    <row r="168" spans="1:6" s="307" customFormat="1" ht="15.5">
      <c r="A168" s="431">
        <f>SUBTOTAL(103,$C$5:C168)</f>
        <v>164</v>
      </c>
      <c r="B168" s="432" t="s">
        <v>567</v>
      </c>
      <c r="C168" s="433" t="s">
        <v>65</v>
      </c>
      <c r="D168" s="437" t="s">
        <v>197</v>
      </c>
      <c r="E168" s="435" t="s">
        <v>50</v>
      </c>
      <c r="F168" s="436"/>
    </row>
    <row r="169" spans="1:6" s="307" customFormat="1" ht="15.5">
      <c r="A169" s="431">
        <f>SUBTOTAL(103,$C$5:C169)</f>
        <v>165</v>
      </c>
      <c r="B169" s="433"/>
      <c r="C169" s="433" t="s">
        <v>26</v>
      </c>
      <c r="D169" s="437" t="s">
        <v>3</v>
      </c>
      <c r="E169" s="435" t="s">
        <v>50</v>
      </c>
      <c r="F169" s="436"/>
    </row>
    <row r="170" spans="1:6" s="307" customFormat="1" ht="15.5">
      <c r="A170" s="431">
        <f>SUBTOTAL(103,$C$5:C170)</f>
        <v>166</v>
      </c>
      <c r="B170" s="433"/>
      <c r="C170" s="433" t="s">
        <v>437</v>
      </c>
      <c r="D170" s="437" t="s">
        <v>49</v>
      </c>
      <c r="E170" s="435" t="s">
        <v>50</v>
      </c>
      <c r="F170" s="436"/>
    </row>
    <row r="171" spans="1:6" s="307" customFormat="1" ht="15.5">
      <c r="A171" s="431">
        <f>SUBTOTAL(103,$C$5:C171)</f>
        <v>167</v>
      </c>
      <c r="B171" s="433"/>
      <c r="C171" s="433" t="s">
        <v>438</v>
      </c>
      <c r="D171" s="437" t="s">
        <v>2</v>
      </c>
      <c r="E171" s="435" t="s">
        <v>50</v>
      </c>
      <c r="F171" s="436"/>
    </row>
    <row r="172" spans="1:6" s="307" customFormat="1" ht="15.5">
      <c r="A172" s="431">
        <f>SUBTOTAL(103,$C$5:C172)</f>
        <v>168</v>
      </c>
      <c r="B172" s="433"/>
      <c r="C172" s="433" t="s">
        <v>439</v>
      </c>
      <c r="D172" s="437" t="s">
        <v>49</v>
      </c>
      <c r="E172" s="435" t="s">
        <v>50</v>
      </c>
      <c r="F172" s="436"/>
    </row>
    <row r="173" spans="1:6" s="307" customFormat="1" ht="15.5">
      <c r="A173" s="431">
        <f>SUBTOTAL(103,$C$5:C173)</f>
        <v>169</v>
      </c>
      <c r="B173" s="433"/>
      <c r="C173" s="433" t="s">
        <v>440</v>
      </c>
      <c r="D173" s="437" t="s">
        <v>3</v>
      </c>
      <c r="E173" s="435" t="s">
        <v>50</v>
      </c>
      <c r="F173" s="436"/>
    </row>
    <row r="174" spans="1:6" s="307" customFormat="1" ht="15.5">
      <c r="A174" s="431">
        <f>SUBTOTAL(103,$C$5:C174)</f>
        <v>170</v>
      </c>
      <c r="B174" s="433"/>
      <c r="C174" s="433" t="s">
        <v>441</v>
      </c>
      <c r="D174" s="437" t="s">
        <v>79</v>
      </c>
      <c r="E174" s="435" t="s">
        <v>50</v>
      </c>
      <c r="F174" s="436"/>
    </row>
    <row r="175" spans="1:6" s="307" customFormat="1" ht="15.5">
      <c r="A175" s="431">
        <f>SUBTOTAL(103,$C$5:C175)</f>
        <v>171</v>
      </c>
      <c r="B175" s="433"/>
      <c r="C175" s="433" t="s">
        <v>442</v>
      </c>
      <c r="D175" s="437" t="s">
        <v>4</v>
      </c>
      <c r="E175" s="435" t="s">
        <v>50</v>
      </c>
      <c r="F175" s="436"/>
    </row>
    <row r="176" spans="1:6" s="307" customFormat="1" ht="15.5">
      <c r="A176" s="431">
        <f>SUBTOTAL(103,$C$5:C176)</f>
        <v>172</v>
      </c>
      <c r="B176" s="433"/>
      <c r="C176" s="433" t="s">
        <v>443</v>
      </c>
      <c r="D176" s="437" t="s">
        <v>2</v>
      </c>
      <c r="E176" s="435" t="s">
        <v>50</v>
      </c>
      <c r="F176" s="436"/>
    </row>
    <row r="177" spans="1:6" s="307" customFormat="1" ht="15.5">
      <c r="A177" s="431">
        <f>SUBTOTAL(103,$C$5:C177)</f>
        <v>173</v>
      </c>
      <c r="B177" s="433"/>
      <c r="C177" s="433" t="s">
        <v>444</v>
      </c>
      <c r="D177" s="437" t="s">
        <v>4</v>
      </c>
      <c r="E177" s="435" t="s">
        <v>50</v>
      </c>
      <c r="F177" s="436"/>
    </row>
    <row r="178" spans="1:6" s="307" customFormat="1" ht="15.5">
      <c r="A178" s="431">
        <f>SUBTOTAL(103,$C$5:C178)</f>
        <v>174</v>
      </c>
      <c r="B178" s="433"/>
      <c r="C178" s="433" t="s">
        <v>445</v>
      </c>
      <c r="D178" s="437" t="s">
        <v>2</v>
      </c>
      <c r="E178" s="435" t="s">
        <v>50</v>
      </c>
      <c r="F178" s="436"/>
    </row>
    <row r="179" spans="1:6" s="307" customFormat="1" ht="15.5">
      <c r="A179" s="431">
        <f>SUBTOTAL(103,$C$5:C179)</f>
        <v>175</v>
      </c>
      <c r="B179" s="432" t="s">
        <v>568</v>
      </c>
      <c r="C179" s="433" t="s">
        <v>9</v>
      </c>
      <c r="D179" s="437" t="s">
        <v>197</v>
      </c>
      <c r="E179" s="435" t="s">
        <v>50</v>
      </c>
      <c r="F179" s="436"/>
    </row>
    <row r="180" spans="1:6" s="307" customFormat="1" ht="15.5">
      <c r="A180" s="431">
        <f>SUBTOTAL(103,$C$5:C180)</f>
        <v>176</v>
      </c>
      <c r="B180" s="433"/>
      <c r="C180" s="433" t="s">
        <v>82</v>
      </c>
      <c r="D180" s="437" t="s">
        <v>2</v>
      </c>
      <c r="E180" s="435" t="s">
        <v>50</v>
      </c>
      <c r="F180" s="436"/>
    </row>
    <row r="181" spans="1:6" s="307" customFormat="1" ht="15.5">
      <c r="A181" s="431">
        <f>SUBTOTAL(103,$C$5:C181)</f>
        <v>177</v>
      </c>
      <c r="B181" s="433"/>
      <c r="C181" s="433" t="s">
        <v>163</v>
      </c>
      <c r="D181" s="437" t="s">
        <v>170</v>
      </c>
      <c r="E181" s="435" t="s">
        <v>50</v>
      </c>
      <c r="F181" s="436"/>
    </row>
    <row r="182" spans="1:6" s="307" customFormat="1" ht="15.5">
      <c r="A182" s="431">
        <f>SUBTOTAL(103,$C$5:C182)</f>
        <v>178</v>
      </c>
      <c r="B182" s="433"/>
      <c r="C182" s="433" t="s">
        <v>164</v>
      </c>
      <c r="D182" s="437" t="s">
        <v>2</v>
      </c>
      <c r="E182" s="435" t="s">
        <v>50</v>
      </c>
      <c r="F182" s="436"/>
    </row>
    <row r="183" spans="1:6" s="307" customFormat="1" ht="15.5">
      <c r="A183" s="431">
        <f>SUBTOTAL(103,$C$5:C183)</f>
        <v>179</v>
      </c>
      <c r="B183" s="433"/>
      <c r="C183" s="433" t="s">
        <v>446</v>
      </c>
      <c r="D183" s="437" t="s">
        <v>154</v>
      </c>
      <c r="E183" s="435" t="s">
        <v>50</v>
      </c>
      <c r="F183" s="436"/>
    </row>
    <row r="184" spans="1:6" s="307" customFormat="1" ht="15.5">
      <c r="A184" s="431">
        <f>SUBTOTAL(103,$C$5:C184)</f>
        <v>180</v>
      </c>
      <c r="B184" s="433"/>
      <c r="C184" s="433" t="s">
        <v>447</v>
      </c>
      <c r="D184" s="437" t="s">
        <v>79</v>
      </c>
      <c r="E184" s="435" t="s">
        <v>50</v>
      </c>
      <c r="F184" s="436"/>
    </row>
    <row r="185" spans="1:6" s="307" customFormat="1" ht="15.5">
      <c r="A185" s="431">
        <f>SUBTOTAL(103,$C$5:C185)</f>
        <v>181</v>
      </c>
      <c r="B185" s="433"/>
      <c r="C185" s="433" t="s">
        <v>448</v>
      </c>
      <c r="D185" s="437" t="s">
        <v>49</v>
      </c>
      <c r="E185" s="435" t="s">
        <v>50</v>
      </c>
      <c r="F185" s="436"/>
    </row>
    <row r="186" spans="1:6" s="307" customFormat="1" ht="15.5">
      <c r="A186" s="431">
        <f>SUBTOTAL(103,$C$5:C186)</f>
        <v>182</v>
      </c>
      <c r="B186" s="433"/>
      <c r="C186" s="433" t="s">
        <v>449</v>
      </c>
      <c r="D186" s="437" t="s">
        <v>3</v>
      </c>
      <c r="E186" s="435" t="s">
        <v>50</v>
      </c>
      <c r="F186" s="436"/>
    </row>
    <row r="187" spans="1:6" s="307" customFormat="1" ht="15.5">
      <c r="A187" s="431">
        <f>SUBTOTAL(103,$C$5:C187)</f>
        <v>183</v>
      </c>
      <c r="B187" s="433"/>
      <c r="C187" s="433" t="s">
        <v>450</v>
      </c>
      <c r="D187" s="437" t="s">
        <v>3</v>
      </c>
      <c r="E187" s="435" t="s">
        <v>50</v>
      </c>
      <c r="F187" s="436"/>
    </row>
    <row r="188" spans="1:6" s="307" customFormat="1" ht="15.5">
      <c r="A188" s="431">
        <f>SUBTOTAL(103,$C$5:C188)</f>
        <v>184</v>
      </c>
      <c r="B188" s="433"/>
      <c r="C188" s="433" t="s">
        <v>451</v>
      </c>
      <c r="D188" s="437" t="s">
        <v>170</v>
      </c>
      <c r="E188" s="435" t="s">
        <v>50</v>
      </c>
      <c r="F188" s="436"/>
    </row>
    <row r="189" spans="1:6" s="307" customFormat="1" ht="15.5">
      <c r="A189" s="431">
        <f>SUBTOTAL(103,$C$5:C189)</f>
        <v>185</v>
      </c>
      <c r="B189" s="433"/>
      <c r="C189" s="433" t="s">
        <v>452</v>
      </c>
      <c r="D189" s="437" t="s">
        <v>989</v>
      </c>
      <c r="E189" s="435" t="s">
        <v>50</v>
      </c>
      <c r="F189" s="436"/>
    </row>
    <row r="190" spans="1:6" s="307" customFormat="1" ht="15.5">
      <c r="A190" s="431">
        <f>SUBTOTAL(103,$C$5:C190)</f>
        <v>186</v>
      </c>
      <c r="B190" s="432" t="s">
        <v>569</v>
      </c>
      <c r="C190" s="433" t="s">
        <v>10</v>
      </c>
      <c r="D190" s="437" t="s">
        <v>184</v>
      </c>
      <c r="E190" s="435" t="s">
        <v>50</v>
      </c>
      <c r="F190" s="436"/>
    </row>
    <row r="191" spans="1:6" s="307" customFormat="1" ht="15.5">
      <c r="A191" s="431">
        <f>SUBTOTAL(103,$C$5:C191)</f>
        <v>187</v>
      </c>
      <c r="B191" s="433"/>
      <c r="C191" s="433" t="s">
        <v>66</v>
      </c>
      <c r="D191" s="437" t="s">
        <v>79</v>
      </c>
      <c r="E191" s="435" t="s">
        <v>50</v>
      </c>
      <c r="F191" s="436"/>
    </row>
    <row r="192" spans="1:6" s="307" customFormat="1" ht="15.5">
      <c r="A192" s="431">
        <f>SUBTOTAL(103,$C$5:C192)</f>
        <v>188</v>
      </c>
      <c r="B192" s="433"/>
      <c r="C192" s="433" t="s">
        <v>165</v>
      </c>
      <c r="D192" s="437" t="s">
        <v>49</v>
      </c>
      <c r="E192" s="435" t="s">
        <v>50</v>
      </c>
      <c r="F192" s="436"/>
    </row>
    <row r="193" spans="1:6" s="307" customFormat="1" ht="15.5">
      <c r="A193" s="431">
        <f>SUBTOTAL(103,$C$5:C193)</f>
        <v>189</v>
      </c>
      <c r="B193" s="433"/>
      <c r="C193" s="433" t="s">
        <v>875</v>
      </c>
      <c r="D193" s="437" t="s">
        <v>79</v>
      </c>
      <c r="E193" s="435" t="s">
        <v>50</v>
      </c>
      <c r="F193" s="436"/>
    </row>
    <row r="194" spans="1:6" s="307" customFormat="1" ht="15.5">
      <c r="A194" s="431">
        <f>SUBTOTAL(103,$C$5:C194)</f>
        <v>190</v>
      </c>
      <c r="B194" s="433"/>
      <c r="C194" s="433" t="s">
        <v>876</v>
      </c>
      <c r="D194" s="437" t="s">
        <v>49</v>
      </c>
      <c r="E194" s="435" t="s">
        <v>50</v>
      </c>
      <c r="F194" s="436"/>
    </row>
    <row r="195" spans="1:6" s="307" customFormat="1" ht="15.5">
      <c r="A195" s="431">
        <f>SUBTOTAL(103,$C$5:C195)</f>
        <v>191</v>
      </c>
      <c r="B195" s="433"/>
      <c r="C195" s="433" t="s">
        <v>877</v>
      </c>
      <c r="D195" s="437" t="s">
        <v>49</v>
      </c>
      <c r="E195" s="435" t="s">
        <v>50</v>
      </c>
      <c r="F195" s="436"/>
    </row>
    <row r="196" spans="1:6" s="307" customFormat="1" ht="15.5">
      <c r="A196" s="431">
        <f>SUBTOTAL(103,$C$5:C196)</f>
        <v>192</v>
      </c>
      <c r="B196" s="433"/>
      <c r="C196" s="433" t="s">
        <v>878</v>
      </c>
      <c r="D196" s="437" t="s">
        <v>49</v>
      </c>
      <c r="E196" s="435" t="s">
        <v>50</v>
      </c>
      <c r="F196" s="436"/>
    </row>
    <row r="197" spans="1:6" s="307" customFormat="1" ht="15.5">
      <c r="A197" s="431">
        <f>SUBTOTAL(103,$C$5:C197)</f>
        <v>193</v>
      </c>
      <c r="B197" s="433"/>
      <c r="C197" s="433" t="s">
        <v>879</v>
      </c>
      <c r="D197" s="437" t="s">
        <v>2</v>
      </c>
      <c r="E197" s="435" t="s">
        <v>50</v>
      </c>
      <c r="F197" s="436"/>
    </row>
    <row r="198" spans="1:6" s="307" customFormat="1" ht="15.5">
      <c r="A198" s="431">
        <f>SUBTOTAL(103,$C$5:C198)</f>
        <v>194</v>
      </c>
      <c r="B198" s="432" t="s">
        <v>907</v>
      </c>
      <c r="C198" s="433" t="s">
        <v>775</v>
      </c>
      <c r="D198" s="437" t="s">
        <v>211</v>
      </c>
      <c r="E198" s="435" t="s">
        <v>50</v>
      </c>
      <c r="F198" s="436"/>
    </row>
    <row r="199" spans="1:6" s="307" customFormat="1" ht="15.5">
      <c r="A199" s="431">
        <f>SUBTOTAL(103,$C$5:C199)</f>
        <v>195</v>
      </c>
      <c r="B199" s="433"/>
      <c r="C199" s="433" t="s">
        <v>776</v>
      </c>
      <c r="D199" s="437" t="s">
        <v>79</v>
      </c>
      <c r="E199" s="435" t="s">
        <v>50</v>
      </c>
      <c r="F199" s="436"/>
    </row>
    <row r="200" spans="1:6" s="307" customFormat="1" ht="15.5">
      <c r="A200" s="431">
        <f>SUBTOTAL(103,$C$5:C200)</f>
        <v>196</v>
      </c>
      <c r="B200" s="432" t="s">
        <v>570</v>
      </c>
      <c r="C200" s="433" t="s">
        <v>67</v>
      </c>
      <c r="D200" s="437" t="s">
        <v>211</v>
      </c>
      <c r="E200" s="435" t="s">
        <v>50</v>
      </c>
      <c r="F200" s="436"/>
    </row>
    <row r="201" spans="1:6" s="307" customFormat="1" ht="15.5">
      <c r="A201" s="431">
        <f>SUBTOTAL(103,$C$5:C201)</f>
        <v>197</v>
      </c>
      <c r="B201" s="433"/>
      <c r="C201" s="433" t="s">
        <v>68</v>
      </c>
      <c r="D201" s="437" t="s">
        <v>49</v>
      </c>
      <c r="E201" s="435" t="s">
        <v>50</v>
      </c>
      <c r="F201" s="436"/>
    </row>
    <row r="202" spans="1:6" s="307" customFormat="1" ht="15.5">
      <c r="A202" s="431">
        <f>SUBTOTAL(103,$C$5:C202)</f>
        <v>198</v>
      </c>
      <c r="B202" s="433"/>
      <c r="C202" s="433" t="s">
        <v>69</v>
      </c>
      <c r="D202" s="437" t="s">
        <v>49</v>
      </c>
      <c r="E202" s="435" t="s">
        <v>50</v>
      </c>
      <c r="F202" s="436"/>
    </row>
    <row r="203" spans="1:6" s="307" customFormat="1" ht="15.5">
      <c r="A203" s="431">
        <f>SUBTOTAL(103,$C$5:C203)</f>
        <v>199</v>
      </c>
      <c r="B203" s="433"/>
      <c r="C203" s="433" t="s">
        <v>70</v>
      </c>
      <c r="D203" s="437" t="s">
        <v>2</v>
      </c>
      <c r="E203" s="435" t="s">
        <v>50</v>
      </c>
      <c r="F203" s="436"/>
    </row>
    <row r="204" spans="1:6" s="307" customFormat="1" ht="15.5">
      <c r="A204" s="431">
        <f>SUBTOTAL(103,$C$5:C204)</f>
        <v>200</v>
      </c>
      <c r="B204" s="433"/>
      <c r="C204" s="433" t="s">
        <v>187</v>
      </c>
      <c r="D204" s="437" t="s">
        <v>2</v>
      </c>
      <c r="E204" s="435" t="s">
        <v>50</v>
      </c>
      <c r="F204" s="436"/>
    </row>
    <row r="205" spans="1:6" s="307" customFormat="1" ht="15.5">
      <c r="A205" s="431">
        <f>SUBTOTAL(103,$C$5:C205)</f>
        <v>201</v>
      </c>
      <c r="B205" s="433"/>
      <c r="C205" s="433" t="s">
        <v>571</v>
      </c>
      <c r="D205" s="437" t="s">
        <v>3</v>
      </c>
      <c r="E205" s="435" t="s">
        <v>50</v>
      </c>
      <c r="F205" s="436"/>
    </row>
    <row r="206" spans="1:6" s="307" customFormat="1" ht="15.5">
      <c r="A206" s="431">
        <f>SUBTOTAL(103,$C$5:C206)</f>
        <v>202</v>
      </c>
      <c r="B206" s="433"/>
      <c r="C206" s="433" t="s">
        <v>572</v>
      </c>
      <c r="D206" s="437" t="s">
        <v>79</v>
      </c>
      <c r="E206" s="435" t="s">
        <v>50</v>
      </c>
      <c r="F206" s="436"/>
    </row>
    <row r="207" spans="1:6" s="307" customFormat="1" ht="15.5">
      <c r="A207" s="431">
        <f>SUBTOTAL(103,$C$5:C207)</f>
        <v>203</v>
      </c>
      <c r="B207" s="433"/>
      <c r="C207" s="433" t="s">
        <v>573</v>
      </c>
      <c r="D207" s="437" t="s">
        <v>79</v>
      </c>
      <c r="E207" s="435" t="s">
        <v>50</v>
      </c>
      <c r="F207" s="436"/>
    </row>
    <row r="208" spans="1:6" s="307" customFormat="1" ht="15.5">
      <c r="A208" s="431">
        <f>SUBTOTAL(103,$C$5:C208)</f>
        <v>204</v>
      </c>
      <c r="B208" s="433"/>
      <c r="C208" s="433" t="s">
        <v>574</v>
      </c>
      <c r="D208" s="437" t="s">
        <v>2</v>
      </c>
      <c r="E208" s="435" t="s">
        <v>50</v>
      </c>
      <c r="F208" s="436"/>
    </row>
    <row r="209" spans="1:6" s="307" customFormat="1" ht="15.5">
      <c r="A209" s="431">
        <f>SUBTOTAL(103,$C$5:C209)</f>
        <v>205</v>
      </c>
      <c r="B209" s="433"/>
      <c r="C209" s="433" t="s">
        <v>575</v>
      </c>
      <c r="D209" s="437" t="s">
        <v>170</v>
      </c>
      <c r="E209" s="435" t="s">
        <v>50</v>
      </c>
      <c r="F209" s="436"/>
    </row>
    <row r="210" spans="1:6" s="307" customFormat="1" ht="15.5">
      <c r="A210" s="431">
        <f>SUBTOTAL(103,$C$5:C210)</f>
        <v>206</v>
      </c>
      <c r="B210" s="432" t="s">
        <v>576</v>
      </c>
      <c r="C210" s="433" t="s">
        <v>166</v>
      </c>
      <c r="D210" s="437" t="s">
        <v>227</v>
      </c>
      <c r="E210" s="435" t="s">
        <v>50</v>
      </c>
      <c r="F210" s="436"/>
    </row>
    <row r="211" spans="1:6" s="307" customFormat="1" ht="15.5">
      <c r="A211" s="431">
        <f>SUBTOTAL(103,$C$5:C211)</f>
        <v>207</v>
      </c>
      <c r="B211" s="433"/>
      <c r="C211" s="433" t="s">
        <v>577</v>
      </c>
      <c r="D211" s="437" t="s">
        <v>49</v>
      </c>
      <c r="E211" s="435" t="s">
        <v>50</v>
      </c>
      <c r="F211" s="436"/>
    </row>
    <row r="212" spans="1:6" s="307" customFormat="1" ht="15.5">
      <c r="A212" s="431">
        <f>SUBTOTAL(103,$C$5:C212)</f>
        <v>208</v>
      </c>
      <c r="B212" s="433"/>
      <c r="C212" s="433" t="s">
        <v>578</v>
      </c>
      <c r="D212" s="437" t="s">
        <v>49</v>
      </c>
      <c r="E212" s="435" t="s">
        <v>50</v>
      </c>
      <c r="F212" s="436"/>
    </row>
    <row r="213" spans="1:6" s="307" customFormat="1" ht="15.5">
      <c r="A213" s="431">
        <f>SUBTOTAL(103,$C$5:C213)</f>
        <v>209</v>
      </c>
      <c r="B213" s="433"/>
      <c r="C213" s="433" t="s">
        <v>579</v>
      </c>
      <c r="D213" s="437" t="s">
        <v>170</v>
      </c>
      <c r="E213" s="435" t="s">
        <v>50</v>
      </c>
      <c r="F213" s="436"/>
    </row>
    <row r="214" spans="1:6" s="307" customFormat="1" ht="15.5">
      <c r="A214" s="431">
        <f>SUBTOTAL(103,$C$5:C214)</f>
        <v>210</v>
      </c>
      <c r="B214" s="433"/>
      <c r="C214" s="433" t="s">
        <v>580</v>
      </c>
      <c r="D214" s="437" t="s">
        <v>79</v>
      </c>
      <c r="E214" s="435" t="s">
        <v>50</v>
      </c>
      <c r="F214" s="436"/>
    </row>
    <row r="215" spans="1:6" s="307" customFormat="1" ht="15.5">
      <c r="A215" s="431">
        <f>SUBTOTAL(103,$C$5:C215)</f>
        <v>211</v>
      </c>
      <c r="B215" s="433"/>
      <c r="C215" s="433" t="s">
        <v>581</v>
      </c>
      <c r="D215" s="437" t="s">
        <v>49</v>
      </c>
      <c r="E215" s="435" t="s">
        <v>50</v>
      </c>
      <c r="F215" s="436"/>
    </row>
    <row r="216" spans="1:6" s="307" customFormat="1" ht="15.5">
      <c r="A216" s="431">
        <f>SUBTOTAL(103,$C$5:C216)</f>
        <v>212</v>
      </c>
      <c r="B216" s="433"/>
      <c r="C216" s="433" t="s">
        <v>582</v>
      </c>
      <c r="D216" s="437" t="s">
        <v>2</v>
      </c>
      <c r="E216" s="435" t="s">
        <v>50</v>
      </c>
      <c r="F216" s="436"/>
    </row>
    <row r="217" spans="1:6" s="307" customFormat="1" ht="15.5">
      <c r="A217" s="431">
        <f>SUBTOTAL(103,$C$5:C217)</f>
        <v>213</v>
      </c>
      <c r="B217" s="433"/>
      <c r="C217" s="433" t="s">
        <v>583</v>
      </c>
      <c r="D217" s="437" t="s">
        <v>3</v>
      </c>
      <c r="E217" s="435" t="s">
        <v>50</v>
      </c>
      <c r="F217" s="436"/>
    </row>
    <row r="218" spans="1:6" s="307" customFormat="1" ht="15.5">
      <c r="A218" s="431">
        <f>SUBTOTAL(103,$C$5:C218)</f>
        <v>214</v>
      </c>
      <c r="B218" s="433"/>
      <c r="C218" s="433" t="s">
        <v>584</v>
      </c>
      <c r="D218" s="437" t="s">
        <v>3</v>
      </c>
      <c r="E218" s="435" t="s">
        <v>50</v>
      </c>
      <c r="F218" s="436"/>
    </row>
    <row r="219" spans="1:6" s="307" customFormat="1" ht="15.5">
      <c r="A219" s="431">
        <f>SUBTOTAL(103,$C$5:C219)</f>
        <v>215</v>
      </c>
      <c r="B219" s="433"/>
      <c r="C219" s="433" t="s">
        <v>585</v>
      </c>
      <c r="D219" s="437" t="s">
        <v>170</v>
      </c>
      <c r="E219" s="435" t="s">
        <v>50</v>
      </c>
      <c r="F219" s="436"/>
    </row>
    <row r="220" spans="1:6" s="307" customFormat="1" ht="15.5">
      <c r="A220" s="431">
        <f>SUBTOTAL(103,$C$5:C220)</f>
        <v>216</v>
      </c>
      <c r="B220" s="433"/>
      <c r="C220" s="433" t="s">
        <v>586</v>
      </c>
      <c r="D220" s="437" t="s">
        <v>4</v>
      </c>
      <c r="E220" s="435" t="s">
        <v>50</v>
      </c>
      <c r="F220" s="436"/>
    </row>
    <row r="221" spans="1:6" s="307" customFormat="1" ht="15.5">
      <c r="A221" s="431">
        <f>SUBTOTAL(103,$C$5:C221)</f>
        <v>217</v>
      </c>
      <c r="B221" s="433"/>
      <c r="C221" s="433" t="s">
        <v>587</v>
      </c>
      <c r="D221" s="437" t="s">
        <v>170</v>
      </c>
      <c r="E221" s="435" t="s">
        <v>50</v>
      </c>
      <c r="F221" s="436"/>
    </row>
    <row r="222" spans="1:6" s="307" customFormat="1" ht="15.5">
      <c r="A222" s="431">
        <f>SUBTOTAL(103,$C$5:C222)</f>
        <v>218</v>
      </c>
      <c r="B222" s="433"/>
      <c r="C222" s="433" t="s">
        <v>588</v>
      </c>
      <c r="D222" s="437" t="s">
        <v>2</v>
      </c>
      <c r="E222" s="435" t="s">
        <v>50</v>
      </c>
      <c r="F222" s="436"/>
    </row>
    <row r="223" spans="1:6" s="307" customFormat="1" ht="15.5">
      <c r="A223" s="431">
        <f>SUBTOTAL(103,$C$5:C223)</f>
        <v>219</v>
      </c>
      <c r="B223" s="432" t="s">
        <v>589</v>
      </c>
      <c r="C223" s="433" t="s">
        <v>71</v>
      </c>
      <c r="D223" s="437" t="s">
        <v>184</v>
      </c>
      <c r="E223" s="435" t="s">
        <v>50</v>
      </c>
      <c r="F223" s="436"/>
    </row>
    <row r="224" spans="1:6" s="307" customFormat="1" ht="15.5">
      <c r="A224" s="431">
        <f>SUBTOTAL(103,$C$5:C224)</f>
        <v>220</v>
      </c>
      <c r="B224" s="433"/>
      <c r="C224" s="433" t="s">
        <v>590</v>
      </c>
      <c r="D224" s="437" t="s">
        <v>79</v>
      </c>
      <c r="E224" s="435" t="s">
        <v>50</v>
      </c>
      <c r="F224" s="436"/>
    </row>
    <row r="225" spans="1:6" s="307" customFormat="1" ht="15.5">
      <c r="A225" s="431">
        <f>SUBTOTAL(103,$C$5:C225)</f>
        <v>221</v>
      </c>
      <c r="B225" s="433"/>
      <c r="C225" s="433" t="s">
        <v>591</v>
      </c>
      <c r="D225" s="437" t="s">
        <v>79</v>
      </c>
      <c r="E225" s="435" t="s">
        <v>50</v>
      </c>
      <c r="F225" s="436"/>
    </row>
    <row r="226" spans="1:6" s="307" customFormat="1" ht="15.5">
      <c r="A226" s="431">
        <f>SUBTOTAL(103,$C$5:C226)</f>
        <v>222</v>
      </c>
      <c r="B226" s="433"/>
      <c r="C226" s="433" t="s">
        <v>592</v>
      </c>
      <c r="D226" s="437" t="s">
        <v>4</v>
      </c>
      <c r="E226" s="435" t="s">
        <v>50</v>
      </c>
      <c r="F226" s="436"/>
    </row>
    <row r="227" spans="1:6" s="307" customFormat="1" ht="15.5">
      <c r="A227" s="431">
        <f>SUBTOTAL(103,$C$5:C227)</f>
        <v>223</v>
      </c>
      <c r="B227" s="433"/>
      <c r="C227" s="433" t="s">
        <v>593</v>
      </c>
      <c r="D227" s="437" t="s">
        <v>49</v>
      </c>
      <c r="E227" s="435" t="s">
        <v>50</v>
      </c>
      <c r="F227" s="436"/>
    </row>
    <row r="228" spans="1:6" s="307" customFormat="1" ht="15.5">
      <c r="A228" s="431">
        <f>SUBTOTAL(103,$C$5:C228)</f>
        <v>224</v>
      </c>
      <c r="B228" s="433"/>
      <c r="C228" s="433" t="s">
        <v>594</v>
      </c>
      <c r="D228" s="437" t="s">
        <v>49</v>
      </c>
      <c r="E228" s="435" t="s">
        <v>50</v>
      </c>
      <c r="F228" s="436"/>
    </row>
    <row r="229" spans="1:6" s="307" customFormat="1" ht="15.5">
      <c r="A229" s="431">
        <f>SUBTOTAL(103,$C$5:C229)</f>
        <v>225</v>
      </c>
      <c r="B229" s="433"/>
      <c r="C229" s="433" t="s">
        <v>595</v>
      </c>
      <c r="D229" s="437" t="s">
        <v>79</v>
      </c>
      <c r="E229" s="435" t="s">
        <v>50</v>
      </c>
      <c r="F229" s="436"/>
    </row>
    <row r="230" spans="1:6" s="307" customFormat="1" ht="15.5">
      <c r="A230" s="431">
        <f>SUBTOTAL(103,$C$5:C230)</f>
        <v>226</v>
      </c>
      <c r="B230" s="433"/>
      <c r="C230" s="433" t="s">
        <v>596</v>
      </c>
      <c r="D230" s="437" t="s">
        <v>2</v>
      </c>
      <c r="E230" s="435" t="s">
        <v>50</v>
      </c>
      <c r="F230" s="436"/>
    </row>
    <row r="231" spans="1:6" s="307" customFormat="1" ht="15.5">
      <c r="A231" s="431">
        <f>SUBTOTAL(103,$C$5:C231)</f>
        <v>227</v>
      </c>
      <c r="B231" s="433"/>
      <c r="C231" s="433" t="s">
        <v>597</v>
      </c>
      <c r="D231" s="437" t="s">
        <v>79</v>
      </c>
      <c r="E231" s="435" t="s">
        <v>50</v>
      </c>
      <c r="F231" s="436"/>
    </row>
    <row r="232" spans="1:6" s="307" customFormat="1" ht="15.5">
      <c r="A232" s="431">
        <f>SUBTOTAL(103,$C$5:C232)</f>
        <v>228</v>
      </c>
      <c r="B232" s="433"/>
      <c r="C232" s="433" t="s">
        <v>598</v>
      </c>
      <c r="D232" s="437" t="s">
        <v>170</v>
      </c>
      <c r="E232" s="435" t="s">
        <v>50</v>
      </c>
      <c r="F232" s="436"/>
    </row>
    <row r="233" spans="1:6" s="307" customFormat="1" ht="15.5">
      <c r="A233" s="431">
        <f>SUBTOTAL(103,$C$5:C233)</f>
        <v>229</v>
      </c>
      <c r="B233" s="433"/>
      <c r="C233" s="433" t="s">
        <v>599</v>
      </c>
      <c r="D233" s="437" t="s">
        <v>2</v>
      </c>
      <c r="E233" s="435" t="s">
        <v>50</v>
      </c>
      <c r="F233" s="436"/>
    </row>
    <row r="234" spans="1:6" s="307" customFormat="1" ht="15.5">
      <c r="A234" s="431">
        <f>SUBTOTAL(103,$C$5:C234)</f>
        <v>230</v>
      </c>
      <c r="B234" s="433"/>
      <c r="C234" s="433" t="s">
        <v>600</v>
      </c>
      <c r="D234" s="437" t="s">
        <v>2</v>
      </c>
      <c r="E234" s="435" t="s">
        <v>50</v>
      </c>
      <c r="F234" s="436"/>
    </row>
    <row r="235" spans="1:6" s="307" customFormat="1" ht="15.5">
      <c r="A235" s="431">
        <f>SUBTOTAL(103,$C$5:C235)</f>
        <v>231</v>
      </c>
      <c r="B235" s="432" t="s">
        <v>601</v>
      </c>
      <c r="C235" s="433" t="s">
        <v>8</v>
      </c>
      <c r="D235" s="437" t="s">
        <v>228</v>
      </c>
      <c r="E235" s="435" t="s">
        <v>50</v>
      </c>
      <c r="F235" s="436"/>
    </row>
    <row r="236" spans="1:6" s="307" customFormat="1" ht="15.5">
      <c r="A236" s="431">
        <f>SUBTOTAL(103,$C$5:C236)</f>
        <v>232</v>
      </c>
      <c r="B236" s="433"/>
      <c r="C236" s="433" t="s">
        <v>241</v>
      </c>
      <c r="D236" s="437" t="s">
        <v>211</v>
      </c>
      <c r="E236" s="435" t="s">
        <v>50</v>
      </c>
      <c r="F236" s="436"/>
    </row>
    <row r="237" spans="1:6" s="307" customFormat="1" ht="15.5">
      <c r="A237" s="431">
        <f>SUBTOTAL(103,$C$5:C237)</f>
        <v>233</v>
      </c>
      <c r="B237" s="433"/>
      <c r="C237" s="433" t="s">
        <v>242</v>
      </c>
      <c r="D237" s="437" t="s">
        <v>2</v>
      </c>
      <c r="E237" s="435" t="s">
        <v>50</v>
      </c>
      <c r="F237" s="436"/>
    </row>
    <row r="238" spans="1:6" s="307" customFormat="1" ht="15.5">
      <c r="A238" s="431">
        <f>SUBTOTAL(103,$C$5:C238)</f>
        <v>234</v>
      </c>
      <c r="B238" s="433"/>
      <c r="C238" s="433" t="s">
        <v>205</v>
      </c>
      <c r="D238" s="437" t="s">
        <v>49</v>
      </c>
      <c r="E238" s="435" t="s">
        <v>50</v>
      </c>
      <c r="F238" s="436"/>
    </row>
    <row r="239" spans="1:6" s="307" customFormat="1" ht="15.5">
      <c r="A239" s="431">
        <f>SUBTOTAL(103,$C$5:C239)</f>
        <v>235</v>
      </c>
      <c r="B239" s="432" t="s">
        <v>602</v>
      </c>
      <c r="C239" s="433" t="s">
        <v>168</v>
      </c>
      <c r="D239" s="437" t="s">
        <v>228</v>
      </c>
      <c r="E239" s="435" t="s">
        <v>50</v>
      </c>
      <c r="F239" s="436"/>
    </row>
    <row r="240" spans="1:6" s="307" customFormat="1" ht="15.5">
      <c r="A240" s="431">
        <f>SUBTOTAL(103,$C$5:C240)</f>
        <v>236</v>
      </c>
      <c r="B240" s="433"/>
      <c r="C240" s="433" t="s">
        <v>603</v>
      </c>
      <c r="D240" s="437" t="s">
        <v>2</v>
      </c>
      <c r="E240" s="435" t="s">
        <v>50</v>
      </c>
      <c r="F240" s="436"/>
    </row>
    <row r="241" spans="1:6" s="307" customFormat="1" ht="15.5">
      <c r="A241" s="431">
        <f>SUBTOTAL(103,$C$5:C241)</f>
        <v>237</v>
      </c>
      <c r="B241" s="433"/>
      <c r="C241" s="433" t="s">
        <v>604</v>
      </c>
      <c r="D241" s="437" t="s">
        <v>2</v>
      </c>
      <c r="E241" s="435" t="s">
        <v>50</v>
      </c>
      <c r="F241" s="436"/>
    </row>
    <row r="242" spans="1:6" s="307" customFormat="1" ht="15.5">
      <c r="A242" s="431">
        <f>SUBTOTAL(103,$C$5:C242)</f>
        <v>238</v>
      </c>
      <c r="B242" s="433"/>
      <c r="C242" s="433" t="s">
        <v>605</v>
      </c>
      <c r="D242" s="437" t="s">
        <v>154</v>
      </c>
      <c r="E242" s="435" t="s">
        <v>50</v>
      </c>
      <c r="F242" s="436"/>
    </row>
    <row r="243" spans="1:6" s="307" customFormat="1" ht="15.5">
      <c r="A243" s="431">
        <f>SUBTOTAL(103,$C$5:C243)</f>
        <v>239</v>
      </c>
      <c r="B243" s="433"/>
      <c r="C243" s="433" t="s">
        <v>606</v>
      </c>
      <c r="D243" s="437" t="s">
        <v>49</v>
      </c>
      <c r="E243" s="435" t="s">
        <v>50</v>
      </c>
      <c r="F243" s="436"/>
    </row>
    <row r="244" spans="1:6" s="307" customFormat="1" ht="15.5">
      <c r="A244" s="431">
        <f>SUBTOTAL(103,$C$5:C244)</f>
        <v>240</v>
      </c>
      <c r="B244" s="433"/>
      <c r="C244" s="433" t="s">
        <v>607</v>
      </c>
      <c r="D244" s="437" t="s">
        <v>2</v>
      </c>
      <c r="E244" s="435" t="s">
        <v>50</v>
      </c>
      <c r="F244" s="436"/>
    </row>
    <row r="245" spans="1:6" s="307" customFormat="1" ht="15.5">
      <c r="A245" s="431">
        <f>SUBTOTAL(103,$C$5:C245)</f>
        <v>241</v>
      </c>
      <c r="B245" s="432" t="s">
        <v>792</v>
      </c>
      <c r="C245" s="433" t="s">
        <v>777</v>
      </c>
      <c r="D245" s="437" t="s">
        <v>197</v>
      </c>
      <c r="E245" s="435" t="s">
        <v>50</v>
      </c>
      <c r="F245" s="436"/>
    </row>
    <row r="246" spans="1:6" s="307" customFormat="1" ht="15.5">
      <c r="A246" s="431">
        <f>SUBTOTAL(103,$C$5:C246)</f>
        <v>242</v>
      </c>
      <c r="B246" s="433"/>
      <c r="C246" s="433" t="s">
        <v>778</v>
      </c>
      <c r="D246" s="437" t="s">
        <v>2</v>
      </c>
      <c r="E246" s="435" t="s">
        <v>50</v>
      </c>
      <c r="F246" s="436"/>
    </row>
    <row r="247" spans="1:6" s="307" customFormat="1" ht="15.5">
      <c r="A247" s="431">
        <f>SUBTOTAL(103,$C$5:C247)</f>
        <v>243</v>
      </c>
      <c r="B247" s="433"/>
      <c r="C247" s="433" t="s">
        <v>779</v>
      </c>
      <c r="D247" s="437" t="s">
        <v>170</v>
      </c>
      <c r="E247" s="435" t="s">
        <v>50</v>
      </c>
      <c r="F247" s="436"/>
    </row>
    <row r="248" spans="1:6" s="307" customFormat="1" ht="15.5">
      <c r="A248" s="431">
        <f>SUBTOTAL(103,$C$5:C248)</f>
        <v>244</v>
      </c>
      <c r="B248" s="433"/>
      <c r="C248" s="433" t="s">
        <v>780</v>
      </c>
      <c r="D248" s="437" t="s">
        <v>2</v>
      </c>
      <c r="E248" s="435" t="s">
        <v>50</v>
      </c>
      <c r="F248" s="436"/>
    </row>
    <row r="249" spans="1:6" s="307" customFormat="1" ht="15.5">
      <c r="A249" s="431">
        <f>SUBTOTAL(103,$C$5:C249)</f>
        <v>245</v>
      </c>
      <c r="B249" s="433"/>
      <c r="C249" s="433" t="s">
        <v>781</v>
      </c>
      <c r="D249" s="437" t="s">
        <v>49</v>
      </c>
      <c r="E249" s="435" t="s">
        <v>50</v>
      </c>
      <c r="F249" s="436"/>
    </row>
    <row r="250" spans="1:6" s="307" customFormat="1" ht="15.5">
      <c r="A250" s="431">
        <f>SUBTOTAL(103,$C$5:C250)</f>
        <v>246</v>
      </c>
      <c r="B250" s="433"/>
      <c r="C250" s="433" t="s">
        <v>782</v>
      </c>
      <c r="D250" s="437" t="s">
        <v>2</v>
      </c>
      <c r="E250" s="435" t="s">
        <v>50</v>
      </c>
      <c r="F250" s="436"/>
    </row>
    <row r="251" spans="1:6" s="307" customFormat="1" ht="15.5">
      <c r="A251" s="431">
        <f>SUBTOTAL(103,$C$5:C251)</f>
        <v>247</v>
      </c>
      <c r="B251" s="433"/>
      <c r="C251" s="433" t="s">
        <v>783</v>
      </c>
      <c r="D251" s="437" t="s">
        <v>2</v>
      </c>
      <c r="E251" s="435" t="s">
        <v>50</v>
      </c>
      <c r="F251" s="436"/>
    </row>
    <row r="252" spans="1:6" s="307" customFormat="1" ht="15.5">
      <c r="A252" s="431">
        <f>SUBTOTAL(103,$C$5:C252)</f>
        <v>248</v>
      </c>
      <c r="B252" s="432" t="s">
        <v>608</v>
      </c>
      <c r="C252" s="433" t="s">
        <v>72</v>
      </c>
      <c r="D252" s="437" t="s">
        <v>226</v>
      </c>
      <c r="E252" s="435" t="s">
        <v>50</v>
      </c>
      <c r="F252" s="436"/>
    </row>
    <row r="253" spans="1:6" s="307" customFormat="1" ht="15.5">
      <c r="A253" s="431">
        <f>SUBTOTAL(103,$C$5:C253)</f>
        <v>249</v>
      </c>
      <c r="B253" s="433"/>
      <c r="C253" s="433" t="s">
        <v>609</v>
      </c>
      <c r="D253" s="437" t="s">
        <v>3</v>
      </c>
      <c r="E253" s="435" t="s">
        <v>50</v>
      </c>
      <c r="F253" s="436"/>
    </row>
    <row r="254" spans="1:6" s="307" customFormat="1" ht="15.5">
      <c r="A254" s="431">
        <f>SUBTOTAL(103,$C$5:C254)</f>
        <v>250</v>
      </c>
      <c r="B254" s="433"/>
      <c r="C254" s="433" t="s">
        <v>610</v>
      </c>
      <c r="D254" s="437" t="s">
        <v>3</v>
      </c>
      <c r="E254" s="435" t="s">
        <v>50</v>
      </c>
      <c r="F254" s="436"/>
    </row>
    <row r="255" spans="1:6" s="307" customFormat="1" ht="15.5">
      <c r="A255" s="431">
        <f>SUBTOTAL(103,$C$5:C255)</f>
        <v>251</v>
      </c>
      <c r="B255" s="433"/>
      <c r="C255" s="433" t="s">
        <v>611</v>
      </c>
      <c r="D255" s="437" t="s">
        <v>2</v>
      </c>
      <c r="E255" s="435" t="s">
        <v>50</v>
      </c>
      <c r="F255" s="436"/>
    </row>
    <row r="256" spans="1:6" s="307" customFormat="1" ht="15.5">
      <c r="A256" s="431">
        <f>SUBTOTAL(103,$C$5:C256)</f>
        <v>252</v>
      </c>
      <c r="B256" s="433"/>
      <c r="C256" s="433" t="s">
        <v>612</v>
      </c>
      <c r="D256" s="437" t="s">
        <v>170</v>
      </c>
      <c r="E256" s="435" t="s">
        <v>50</v>
      </c>
      <c r="F256" s="436"/>
    </row>
    <row r="257" spans="1:6" s="307" customFormat="1" ht="15.5">
      <c r="A257" s="431">
        <f>SUBTOTAL(103,$C$5:C257)</f>
        <v>253</v>
      </c>
      <c r="B257" s="433"/>
      <c r="C257" s="433" t="s">
        <v>613</v>
      </c>
      <c r="D257" s="437" t="s">
        <v>2</v>
      </c>
      <c r="E257" s="435" t="s">
        <v>50</v>
      </c>
      <c r="F257" s="436"/>
    </row>
    <row r="258" spans="1:6" s="307" customFormat="1" ht="15.5">
      <c r="A258" s="431">
        <f>SUBTOTAL(103,$C$5:C258)</f>
        <v>254</v>
      </c>
      <c r="B258" s="433"/>
      <c r="C258" s="433" t="s">
        <v>614</v>
      </c>
      <c r="D258" s="437" t="s">
        <v>79</v>
      </c>
      <c r="E258" s="435" t="s">
        <v>50</v>
      </c>
      <c r="F258" s="436"/>
    </row>
    <row r="259" spans="1:6" s="307" customFormat="1" ht="15.5">
      <c r="A259" s="431">
        <f>SUBTOTAL(103,$C$5:C259)</f>
        <v>255</v>
      </c>
      <c r="B259" s="433"/>
      <c r="C259" s="433" t="s">
        <v>615</v>
      </c>
      <c r="D259" s="437" t="s">
        <v>49</v>
      </c>
      <c r="E259" s="435" t="s">
        <v>50</v>
      </c>
      <c r="F259" s="436"/>
    </row>
    <row r="260" spans="1:6" s="307" customFormat="1" ht="15.5">
      <c r="A260" s="431">
        <f>SUBTOTAL(103,$C$5:C260)</f>
        <v>256</v>
      </c>
      <c r="B260" s="433"/>
      <c r="C260" s="433" t="s">
        <v>616</v>
      </c>
      <c r="D260" s="437" t="s">
        <v>170</v>
      </c>
      <c r="E260" s="435" t="s">
        <v>50</v>
      </c>
      <c r="F260" s="436"/>
    </row>
    <row r="261" spans="1:6" s="307" customFormat="1" ht="15.5">
      <c r="A261" s="431">
        <f>SUBTOTAL(103,$C$5:C261)</f>
        <v>257</v>
      </c>
      <c r="B261" s="433"/>
      <c r="C261" s="433" t="s">
        <v>617</v>
      </c>
      <c r="D261" s="437" t="s">
        <v>3</v>
      </c>
      <c r="E261" s="435" t="s">
        <v>50</v>
      </c>
      <c r="F261" s="436"/>
    </row>
    <row r="262" spans="1:6" s="307" customFormat="1" ht="15.5">
      <c r="A262" s="431">
        <f>SUBTOTAL(103,$C$5:C262)</f>
        <v>258</v>
      </c>
      <c r="B262" s="433"/>
      <c r="C262" s="433" t="s">
        <v>618</v>
      </c>
      <c r="D262" s="437" t="s">
        <v>2</v>
      </c>
      <c r="E262" s="435" t="s">
        <v>50</v>
      </c>
      <c r="F262" s="436"/>
    </row>
    <row r="263" spans="1:6" s="307" customFormat="1" ht="15.5">
      <c r="A263" s="431">
        <f>SUBTOTAL(103,$C$5:C263)</f>
        <v>259</v>
      </c>
      <c r="B263" s="432" t="s">
        <v>619</v>
      </c>
      <c r="C263" s="433" t="s">
        <v>73</v>
      </c>
      <c r="D263" s="437" t="s">
        <v>184</v>
      </c>
      <c r="E263" s="435" t="s">
        <v>50</v>
      </c>
      <c r="F263" s="436"/>
    </row>
    <row r="264" spans="1:6" s="307" customFormat="1" ht="15.5">
      <c r="A264" s="431">
        <f>SUBTOTAL(103,$C$5:C264)</f>
        <v>260</v>
      </c>
      <c r="B264" s="433"/>
      <c r="C264" s="433" t="s">
        <v>620</v>
      </c>
      <c r="D264" s="437" t="s">
        <v>154</v>
      </c>
      <c r="E264" s="435" t="s">
        <v>50</v>
      </c>
      <c r="F264" s="436"/>
    </row>
    <row r="265" spans="1:6" s="307" customFormat="1" ht="15.5">
      <c r="A265" s="431">
        <f>SUBTOTAL(103,$C$5:C265)</f>
        <v>261</v>
      </c>
      <c r="B265" s="433"/>
      <c r="C265" s="433" t="s">
        <v>621</v>
      </c>
      <c r="D265" s="437" t="s">
        <v>2</v>
      </c>
      <c r="E265" s="435" t="s">
        <v>50</v>
      </c>
      <c r="F265" s="436"/>
    </row>
    <row r="266" spans="1:6" s="307" customFormat="1" ht="15.5">
      <c r="A266" s="431">
        <f>SUBTOTAL(103,$C$5:C266)</f>
        <v>262</v>
      </c>
      <c r="B266" s="433"/>
      <c r="C266" s="433" t="s">
        <v>622</v>
      </c>
      <c r="D266" s="437" t="s">
        <v>170</v>
      </c>
      <c r="E266" s="435" t="s">
        <v>50</v>
      </c>
      <c r="F266" s="436"/>
    </row>
    <row r="267" spans="1:6" s="307" customFormat="1" ht="15.5">
      <c r="A267" s="431">
        <f>SUBTOTAL(103,$C$5:C267)</f>
        <v>263</v>
      </c>
      <c r="B267" s="433"/>
      <c r="C267" s="433" t="s">
        <v>623</v>
      </c>
      <c r="D267" s="437" t="s">
        <v>2</v>
      </c>
      <c r="E267" s="435" t="s">
        <v>50</v>
      </c>
      <c r="F267" s="436"/>
    </row>
    <row r="268" spans="1:6" s="307" customFormat="1" ht="15.5">
      <c r="A268" s="431">
        <f>SUBTOTAL(103,$C$5:C268)</f>
        <v>264</v>
      </c>
      <c r="B268" s="433"/>
      <c r="C268" s="433" t="s">
        <v>624</v>
      </c>
      <c r="D268" s="437" t="s">
        <v>170</v>
      </c>
      <c r="E268" s="435" t="s">
        <v>50</v>
      </c>
      <c r="F268" s="436"/>
    </row>
    <row r="269" spans="1:6" s="307" customFormat="1" ht="15.5">
      <c r="A269" s="431">
        <f>SUBTOTAL(103,$C$5:C269)</f>
        <v>265</v>
      </c>
      <c r="B269" s="433"/>
      <c r="C269" s="433" t="s">
        <v>625</v>
      </c>
      <c r="D269" s="437" t="s">
        <v>170</v>
      </c>
      <c r="E269" s="435" t="s">
        <v>50</v>
      </c>
      <c r="F269" s="436"/>
    </row>
    <row r="270" spans="1:6" s="307" customFormat="1" ht="15.5">
      <c r="A270" s="431">
        <f>SUBTOTAL(103,$C$5:C270)</f>
        <v>266</v>
      </c>
      <c r="B270" s="433"/>
      <c r="C270" s="433" t="s">
        <v>626</v>
      </c>
      <c r="D270" s="437" t="s">
        <v>2</v>
      </c>
      <c r="E270" s="435" t="s">
        <v>50</v>
      </c>
      <c r="F270" s="436"/>
    </row>
    <row r="271" spans="1:6" s="307" customFormat="1" ht="15.5">
      <c r="A271" s="431">
        <f>SUBTOTAL(103,$C$5:C271)</f>
        <v>267</v>
      </c>
      <c r="B271" s="433"/>
      <c r="C271" s="433" t="s">
        <v>627</v>
      </c>
      <c r="D271" s="437" t="s">
        <v>170</v>
      </c>
      <c r="E271" s="435" t="s">
        <v>50</v>
      </c>
      <c r="F271" s="436"/>
    </row>
    <row r="272" spans="1:6" s="307" customFormat="1" ht="15.5">
      <c r="A272" s="431">
        <f>SUBTOTAL(103,$C$5:C272)</f>
        <v>268</v>
      </c>
      <c r="B272" s="433"/>
      <c r="C272" s="433" t="s">
        <v>628</v>
      </c>
      <c r="D272" s="437" t="s">
        <v>79</v>
      </c>
      <c r="E272" s="435" t="s">
        <v>50</v>
      </c>
      <c r="F272" s="436"/>
    </row>
    <row r="273" spans="1:6" s="307" customFormat="1" ht="15.5">
      <c r="A273" s="431">
        <f>SUBTOTAL(103,$C$5:C273)</f>
        <v>269</v>
      </c>
      <c r="B273" s="433"/>
      <c r="C273" s="433" t="s">
        <v>629</v>
      </c>
      <c r="D273" s="437" t="s">
        <v>2</v>
      </c>
      <c r="E273" s="435" t="s">
        <v>50</v>
      </c>
      <c r="F273" s="436"/>
    </row>
    <row r="274" spans="1:6" s="307" customFormat="1" ht="15.5">
      <c r="A274" s="431">
        <f>SUBTOTAL(103,$C$5:C274)</f>
        <v>270</v>
      </c>
      <c r="B274" s="433"/>
      <c r="C274" s="433" t="s">
        <v>630</v>
      </c>
      <c r="D274" s="437" t="s">
        <v>79</v>
      </c>
      <c r="E274" s="435" t="s">
        <v>50</v>
      </c>
      <c r="F274" s="436"/>
    </row>
    <row r="275" spans="1:6" s="307" customFormat="1" ht="15.5">
      <c r="A275" s="431">
        <f>SUBTOTAL(103,$C$5:C275)</f>
        <v>271</v>
      </c>
      <c r="B275" s="432" t="s">
        <v>631</v>
      </c>
      <c r="C275" s="433" t="s">
        <v>74</v>
      </c>
      <c r="D275" s="437" t="s">
        <v>227</v>
      </c>
      <c r="E275" s="435" t="s">
        <v>50</v>
      </c>
      <c r="F275" s="436"/>
    </row>
    <row r="276" spans="1:6" s="307" customFormat="1" ht="15.5">
      <c r="A276" s="431">
        <f>SUBTOTAL(103,$C$5:C276)</f>
        <v>272</v>
      </c>
      <c r="B276" s="433"/>
      <c r="C276" s="433" t="s">
        <v>206</v>
      </c>
      <c r="D276" s="437" t="s">
        <v>49</v>
      </c>
      <c r="E276" s="435" t="s">
        <v>50</v>
      </c>
      <c r="F276" s="436"/>
    </row>
    <row r="277" spans="1:6" s="307" customFormat="1" ht="15.5">
      <c r="A277" s="431">
        <f>SUBTOTAL(103,$C$5:C277)</f>
        <v>273</v>
      </c>
      <c r="B277" s="433"/>
      <c r="C277" s="433" t="s">
        <v>207</v>
      </c>
      <c r="D277" s="437" t="s">
        <v>79</v>
      </c>
      <c r="E277" s="435" t="s">
        <v>50</v>
      </c>
      <c r="F277" s="436"/>
    </row>
    <row r="278" spans="1:6" s="307" customFormat="1" ht="15.5">
      <c r="A278" s="431">
        <f>SUBTOTAL(103,$C$5:C278)</f>
        <v>274</v>
      </c>
      <c r="B278" s="433"/>
      <c r="C278" s="433" t="s">
        <v>5</v>
      </c>
      <c r="D278" s="437" t="s">
        <v>2</v>
      </c>
      <c r="E278" s="435" t="s">
        <v>50</v>
      </c>
      <c r="F278" s="436"/>
    </row>
    <row r="279" spans="1:6" s="307" customFormat="1" ht="15.5">
      <c r="A279" s="431">
        <f>SUBTOTAL(103,$C$5:C279)</f>
        <v>275</v>
      </c>
      <c r="B279" s="433"/>
      <c r="C279" s="433" t="s">
        <v>6</v>
      </c>
      <c r="D279" s="437" t="s">
        <v>79</v>
      </c>
      <c r="E279" s="435" t="s">
        <v>50</v>
      </c>
      <c r="F279" s="436"/>
    </row>
    <row r="280" spans="1:6" s="307" customFormat="1" ht="15.5">
      <c r="A280" s="431">
        <f>SUBTOTAL(103,$C$5:C280)</f>
        <v>276</v>
      </c>
      <c r="B280" s="433"/>
      <c r="C280" s="433" t="s">
        <v>632</v>
      </c>
      <c r="D280" s="437" t="s">
        <v>49</v>
      </c>
      <c r="E280" s="435" t="s">
        <v>50</v>
      </c>
      <c r="F280" s="436"/>
    </row>
    <row r="281" spans="1:6" s="307" customFormat="1" ht="15.5">
      <c r="A281" s="431">
        <f>SUBTOTAL(103,$C$5:C281)</f>
        <v>277</v>
      </c>
      <c r="B281" s="433"/>
      <c r="C281" s="433" t="s">
        <v>633</v>
      </c>
      <c r="D281" s="437" t="s">
        <v>49</v>
      </c>
      <c r="E281" s="435" t="s">
        <v>50</v>
      </c>
      <c r="F281" s="436"/>
    </row>
    <row r="282" spans="1:6" s="307" customFormat="1" ht="15.5">
      <c r="A282" s="431">
        <f>SUBTOTAL(103,$C$5:C282)</f>
        <v>278</v>
      </c>
      <c r="B282" s="433"/>
      <c r="C282" s="433" t="s">
        <v>634</v>
      </c>
      <c r="D282" s="437" t="s">
        <v>2</v>
      </c>
      <c r="E282" s="435" t="s">
        <v>50</v>
      </c>
      <c r="F282" s="436"/>
    </row>
    <row r="283" spans="1:6" s="307" customFormat="1" ht="15.5">
      <c r="A283" s="431">
        <f>SUBTOTAL(103,$C$5:C283)</f>
        <v>279</v>
      </c>
      <c r="B283" s="433"/>
      <c r="C283" s="433" t="s">
        <v>635</v>
      </c>
      <c r="D283" s="437" t="s">
        <v>154</v>
      </c>
      <c r="E283" s="435" t="s">
        <v>50</v>
      </c>
      <c r="F283" s="436"/>
    </row>
    <row r="284" spans="1:6" s="307" customFormat="1" ht="15.5">
      <c r="A284" s="431">
        <f>SUBTOTAL(103,$C$5:C284)</f>
        <v>280</v>
      </c>
      <c r="B284" s="433"/>
      <c r="C284" s="433" t="s">
        <v>636</v>
      </c>
      <c r="D284" s="437" t="s">
        <v>49</v>
      </c>
      <c r="E284" s="435" t="s">
        <v>50</v>
      </c>
      <c r="F284" s="436"/>
    </row>
    <row r="285" spans="1:6" s="307" customFormat="1" ht="15.5">
      <c r="A285" s="431">
        <f>SUBTOTAL(103,$C$5:C285)</f>
        <v>281</v>
      </c>
      <c r="B285" s="433"/>
      <c r="C285" s="433" t="s">
        <v>637</v>
      </c>
      <c r="D285" s="437" t="s">
        <v>2</v>
      </c>
      <c r="E285" s="435" t="s">
        <v>50</v>
      </c>
      <c r="F285" s="436"/>
    </row>
    <row r="286" spans="1:6" s="307" customFormat="1" ht="15.5">
      <c r="A286" s="431">
        <f>SUBTOTAL(103,$C$5:C286)</f>
        <v>282</v>
      </c>
      <c r="B286" s="433"/>
      <c r="C286" s="433" t="s">
        <v>638</v>
      </c>
      <c r="D286" s="437" t="s">
        <v>49</v>
      </c>
      <c r="E286" s="435" t="s">
        <v>50</v>
      </c>
      <c r="F286" s="436"/>
    </row>
    <row r="287" spans="1:6" s="307" customFormat="1" ht="15.5">
      <c r="A287" s="431">
        <f>SUBTOTAL(103,$C$5:C287)</f>
        <v>283</v>
      </c>
      <c r="B287" s="432" t="s">
        <v>639</v>
      </c>
      <c r="C287" s="433" t="s">
        <v>640</v>
      </c>
      <c r="D287" s="437" t="s">
        <v>211</v>
      </c>
      <c r="E287" s="435" t="s">
        <v>50</v>
      </c>
      <c r="F287" s="436"/>
    </row>
    <row r="288" spans="1:6" s="307" customFormat="1" ht="15.5">
      <c r="A288" s="431">
        <f>SUBTOTAL(103,$C$5:C288)</f>
        <v>284</v>
      </c>
      <c r="B288" s="432" t="s">
        <v>641</v>
      </c>
      <c r="C288" s="433" t="s">
        <v>75</v>
      </c>
      <c r="D288" s="437" t="s">
        <v>211</v>
      </c>
      <c r="E288" s="435" t="s">
        <v>50</v>
      </c>
      <c r="F288" s="436"/>
    </row>
    <row r="289" spans="1:6" s="307" customFormat="1" ht="15.5">
      <c r="A289" s="431">
        <f>SUBTOTAL(103,$C$5:C289)</f>
        <v>285</v>
      </c>
      <c r="B289" s="433"/>
      <c r="C289" s="433" t="s">
        <v>76</v>
      </c>
      <c r="D289" s="437" t="s">
        <v>49</v>
      </c>
      <c r="E289" s="435" t="s">
        <v>50</v>
      </c>
      <c r="F289" s="436"/>
    </row>
    <row r="290" spans="1:6" s="307" customFormat="1" ht="15.5">
      <c r="A290" s="431">
        <f>SUBTOTAL(103,$C$5:C290)</f>
        <v>286</v>
      </c>
      <c r="B290" s="432" t="s">
        <v>642</v>
      </c>
      <c r="C290" s="433" t="s">
        <v>77</v>
      </c>
      <c r="D290" s="437" t="s">
        <v>184</v>
      </c>
      <c r="E290" s="435" t="s">
        <v>50</v>
      </c>
      <c r="F290" s="436"/>
    </row>
    <row r="291" spans="1:6" s="307" customFormat="1" ht="15.5">
      <c r="A291" s="431">
        <f>SUBTOTAL(103,$C$5:C291)</f>
        <v>287</v>
      </c>
      <c r="B291" s="433"/>
      <c r="C291" s="433" t="s">
        <v>171</v>
      </c>
      <c r="D291" s="437" t="s">
        <v>2</v>
      </c>
      <c r="E291" s="435" t="s">
        <v>50</v>
      </c>
      <c r="F291" s="436"/>
    </row>
    <row r="292" spans="1:6" s="307" customFormat="1" ht="15.5">
      <c r="A292" s="431">
        <f>SUBTOTAL(103,$C$5:C292)</f>
        <v>288</v>
      </c>
      <c r="B292" s="433"/>
      <c r="C292" s="433" t="s">
        <v>172</v>
      </c>
      <c r="D292" s="437" t="s">
        <v>49</v>
      </c>
      <c r="E292" s="435" t="s">
        <v>50</v>
      </c>
      <c r="F292" s="436"/>
    </row>
    <row r="293" spans="1:6" s="307" customFormat="1" ht="15.5">
      <c r="A293" s="431">
        <f>SUBTOTAL(103,$C$5:C293)</f>
        <v>289</v>
      </c>
      <c r="B293" s="433"/>
      <c r="C293" s="433" t="s">
        <v>169</v>
      </c>
      <c r="D293" s="437" t="s">
        <v>211</v>
      </c>
      <c r="E293" s="435" t="s">
        <v>50</v>
      </c>
      <c r="F293" s="436"/>
    </row>
    <row r="294" spans="1:6" s="307" customFormat="1" ht="15.5">
      <c r="A294" s="431">
        <f>SUBTOTAL(103,$C$5:C294)</f>
        <v>290</v>
      </c>
      <c r="B294" s="432" t="s">
        <v>643</v>
      </c>
      <c r="C294" s="433" t="s">
        <v>78</v>
      </c>
      <c r="D294" s="437" t="s">
        <v>197</v>
      </c>
      <c r="E294" s="435" t="s">
        <v>50</v>
      </c>
      <c r="F294" s="436"/>
    </row>
    <row r="295" spans="1:6" s="307" customFormat="1" ht="15.5">
      <c r="A295" s="431">
        <f>SUBTOTAL(103,$C$5:C295)</f>
        <v>291</v>
      </c>
      <c r="B295" s="433"/>
      <c r="C295" s="433" t="s">
        <v>644</v>
      </c>
      <c r="D295" s="437" t="s">
        <v>154</v>
      </c>
      <c r="E295" s="435" t="s">
        <v>50</v>
      </c>
      <c r="F295" s="436"/>
    </row>
    <row r="296" spans="1:6" s="307" customFormat="1" ht="15.5">
      <c r="A296" s="431">
        <f>SUBTOTAL(103,$C$5:C296)</f>
        <v>292</v>
      </c>
      <c r="B296" s="433"/>
      <c r="C296" s="433" t="s">
        <v>645</v>
      </c>
      <c r="D296" s="437" t="s">
        <v>79</v>
      </c>
      <c r="E296" s="435" t="s">
        <v>50</v>
      </c>
      <c r="F296" s="436"/>
    </row>
    <row r="297" spans="1:6" s="307" customFormat="1" ht="15.5">
      <c r="A297" s="431">
        <f>SUBTOTAL(103,$C$5:C297)</f>
        <v>293</v>
      </c>
      <c r="B297" s="433"/>
      <c r="C297" s="433" t="s">
        <v>646</v>
      </c>
      <c r="D297" s="437" t="s">
        <v>154</v>
      </c>
      <c r="E297" s="435" t="s">
        <v>50</v>
      </c>
      <c r="F297" s="436"/>
    </row>
    <row r="298" spans="1:6" s="307" customFormat="1" ht="15.5">
      <c r="A298" s="431">
        <f>SUBTOTAL(103,$C$5:C298)</f>
        <v>294</v>
      </c>
      <c r="B298" s="433"/>
      <c r="C298" s="433" t="s">
        <v>647</v>
      </c>
      <c r="D298" s="437" t="s">
        <v>3</v>
      </c>
      <c r="E298" s="435" t="s">
        <v>50</v>
      </c>
      <c r="F298" s="436"/>
    </row>
    <row r="299" spans="1:6" s="307" customFormat="1" ht="48">
      <c r="A299" s="431">
        <f>SUBTOTAL(103,$C$5:C299)</f>
        <v>295</v>
      </c>
      <c r="B299" s="433" t="s">
        <v>1227</v>
      </c>
      <c r="C299" s="610" t="s">
        <v>648</v>
      </c>
      <c r="D299" s="609" t="s">
        <v>173</v>
      </c>
      <c r="E299" s="435" t="s">
        <v>50</v>
      </c>
      <c r="F299" s="673" t="s">
        <v>1146</v>
      </c>
    </row>
    <row r="300" spans="1:6" s="307" customFormat="1" ht="15.5">
      <c r="A300" s="431">
        <f>SUBTOTAL(103,$C$5:C300)</f>
        <v>296</v>
      </c>
      <c r="B300" s="433"/>
      <c r="C300" s="433" t="s">
        <v>649</v>
      </c>
      <c r="D300" s="437" t="s">
        <v>2</v>
      </c>
      <c r="E300" s="435" t="s">
        <v>50</v>
      </c>
      <c r="F300" s="436"/>
    </row>
    <row r="301" spans="1:6" s="307" customFormat="1" ht="15.5">
      <c r="A301" s="431">
        <f>SUBTOTAL(103,$C$5:C301)</f>
        <v>297</v>
      </c>
      <c r="B301" s="433"/>
      <c r="C301" s="433" t="s">
        <v>650</v>
      </c>
      <c r="D301" s="437" t="s">
        <v>3</v>
      </c>
      <c r="E301" s="435" t="s">
        <v>50</v>
      </c>
      <c r="F301" s="436"/>
    </row>
    <row r="302" spans="1:6" s="307" customFormat="1" ht="15.5">
      <c r="A302" s="431">
        <f>SUBTOTAL(103,$C$5:C302)</f>
        <v>298</v>
      </c>
      <c r="B302" s="433"/>
      <c r="C302" s="433" t="s">
        <v>651</v>
      </c>
      <c r="D302" s="437" t="s">
        <v>49</v>
      </c>
      <c r="E302" s="435" t="s">
        <v>50</v>
      </c>
      <c r="F302" s="436"/>
    </row>
    <row r="303" spans="1:6" s="307" customFormat="1" ht="16" thickBot="1">
      <c r="A303" s="440">
        <f>SUBTOTAL(103,$C$5:C303)</f>
        <v>299</v>
      </c>
      <c r="B303" s="441" t="s">
        <v>652</v>
      </c>
      <c r="C303" s="442" t="s">
        <v>7</v>
      </c>
      <c r="D303" s="443" t="s">
        <v>227</v>
      </c>
      <c r="E303" s="444" t="s">
        <v>50</v>
      </c>
      <c r="F303" s="445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topLeftCell="B1" zoomScale="93" zoomScaleNormal="90" zoomScaleSheetLayoutView="93" workbookViewId="0">
      <pane ySplit="3" topLeftCell="A120" activePane="bottomLeft" state="frozen"/>
      <selection activeCell="B1" sqref="B1:L1"/>
      <selection pane="bottomLeft" activeCell="C138" sqref="C138"/>
    </sheetView>
  </sheetViews>
  <sheetFormatPr defaultColWidth="9.1796875" defaultRowHeight="14.5"/>
  <cols>
    <col min="1" max="2" width="12.1796875" style="137" customWidth="1"/>
    <col min="3" max="3" width="16.453125" style="624" customWidth="1"/>
    <col min="4" max="4" width="13.1796875" style="625" bestFit="1" customWidth="1"/>
    <col min="5" max="5" width="3.7265625" style="625" hidden="1" customWidth="1"/>
    <col min="6" max="6" width="3.90625" style="156" hidden="1" customWidth="1"/>
    <col min="7" max="7" width="8" style="760" hidden="1" customWidth="1"/>
    <col min="8" max="8" width="14.453125" style="156" bestFit="1" customWidth="1"/>
    <col min="9" max="9" width="14.453125" style="156" customWidth="1"/>
    <col min="10" max="10" width="22" style="138" customWidth="1"/>
    <col min="11" max="12" width="17.81640625" style="138" customWidth="1"/>
    <col min="13" max="13" width="19.26953125" style="138" customWidth="1"/>
    <col min="14" max="14" width="17.81640625" style="138" customWidth="1"/>
    <col min="15" max="15" width="16.54296875" style="138" customWidth="1"/>
    <col min="16" max="16" width="23.26953125" style="138" customWidth="1"/>
    <col min="17" max="16384" width="9.1796875" style="137"/>
  </cols>
  <sheetData>
    <row r="1" spans="1:16" s="135" customFormat="1" ht="36" customHeight="1">
      <c r="A1" s="1700" t="s">
        <v>664</v>
      </c>
      <c r="B1" s="1701"/>
      <c r="C1" s="1701"/>
      <c r="D1" s="1743"/>
      <c r="E1" s="1743"/>
      <c r="F1" s="1743"/>
      <c r="G1" s="1743"/>
      <c r="H1" s="1743"/>
      <c r="I1" s="1743"/>
      <c r="J1" s="1701"/>
      <c r="K1" s="1701"/>
      <c r="L1" s="1701"/>
      <c r="M1" s="1701"/>
      <c r="N1" s="1701"/>
      <c r="O1" s="1701"/>
      <c r="P1" s="1702"/>
    </row>
    <row r="2" spans="1:16" s="136" customFormat="1" ht="29.25" customHeight="1">
      <c r="A2" s="1744" t="s">
        <v>91</v>
      </c>
      <c r="B2" s="399" t="s">
        <v>654</v>
      </c>
      <c r="C2" s="399" t="s">
        <v>653</v>
      </c>
      <c r="D2" s="399" t="s">
        <v>486</v>
      </c>
      <c r="E2" s="399"/>
      <c r="F2" s="399" t="s">
        <v>1117</v>
      </c>
      <c r="G2" s="399"/>
      <c r="H2" s="399" t="s">
        <v>958</v>
      </c>
      <c r="I2" s="399" t="s">
        <v>959</v>
      </c>
      <c r="J2" s="399" t="s">
        <v>960</v>
      </c>
      <c r="K2" s="399">
        <f>COUNTIFS(K4:K616,K140)</f>
        <v>306</v>
      </c>
      <c r="L2" s="399">
        <f>COUNTIFS(L4:L616,L140)</f>
        <v>303</v>
      </c>
      <c r="M2" s="399">
        <f>COUNTIFS(M4:M617,M322)</f>
        <v>304</v>
      </c>
      <c r="N2" s="399">
        <f>COUNTIFS(N4:N602,N322)</f>
        <v>116</v>
      </c>
      <c r="O2" s="399">
        <f>SUBTOTAL(3,O4:O604)</f>
        <v>26</v>
      </c>
      <c r="P2" s="399" t="s">
        <v>1</v>
      </c>
    </row>
    <row r="3" spans="1:16" s="136" customFormat="1" ht="18.5">
      <c r="A3" s="1744"/>
      <c r="B3" s="399" t="s">
        <v>522</v>
      </c>
      <c r="C3" s="399" t="s">
        <v>523</v>
      </c>
      <c r="D3" s="399" t="s">
        <v>487</v>
      </c>
      <c r="E3" s="399"/>
      <c r="F3" s="399"/>
      <c r="G3" s="399"/>
      <c r="H3" s="399" t="s">
        <v>961</v>
      </c>
      <c r="I3" s="399" t="s">
        <v>962</v>
      </c>
      <c r="J3" s="400">
        <v>46165</v>
      </c>
      <c r="K3" s="400" t="s">
        <v>99</v>
      </c>
      <c r="L3" s="400" t="s">
        <v>34</v>
      </c>
      <c r="M3" s="400" t="s">
        <v>1016</v>
      </c>
      <c r="N3" s="400" t="s">
        <v>1482</v>
      </c>
      <c r="O3" s="400" t="s">
        <v>963</v>
      </c>
      <c r="P3" s="399"/>
    </row>
    <row r="4" spans="1:16" s="136" customFormat="1" ht="18.5">
      <c r="A4" s="401">
        <v>0</v>
      </c>
      <c r="B4" s="407"/>
      <c r="C4" s="407" t="s">
        <v>1162</v>
      </c>
      <c r="D4" s="623" t="s">
        <v>244</v>
      </c>
      <c r="E4" s="623"/>
      <c r="F4" s="404"/>
      <c r="G4" s="403"/>
      <c r="H4" s="454"/>
      <c r="I4" s="410">
        <v>0</v>
      </c>
      <c r="J4" s="407"/>
      <c r="K4" s="401"/>
      <c r="L4" s="401"/>
      <c r="M4" s="401"/>
      <c r="N4" s="401"/>
      <c r="O4" s="401"/>
      <c r="P4" s="401"/>
    </row>
    <row r="5" spans="1:16" s="136" customFormat="1" ht="18.5" hidden="1">
      <c r="A5" s="406"/>
      <c r="B5" s="401"/>
      <c r="C5" s="622"/>
      <c r="D5" s="454"/>
      <c r="E5" s="454"/>
      <c r="F5" s="404"/>
      <c r="G5" s="756" t="str">
        <f>C4</f>
        <v xml:space="preserve">Gantry </v>
      </c>
      <c r="H5" s="456">
        <v>150.01400000000001</v>
      </c>
      <c r="I5" s="1197"/>
      <c r="J5" s="407"/>
      <c r="K5" s="401"/>
      <c r="L5" s="401"/>
      <c r="M5" s="401"/>
      <c r="N5" s="401"/>
      <c r="O5" s="401"/>
      <c r="P5" s="401"/>
    </row>
    <row r="6" spans="1:16" s="136" customFormat="1" ht="18.75" customHeight="1">
      <c r="A6" s="401">
        <f>SUBTOTAL(103,$C$6:C6)</f>
        <v>1</v>
      </c>
      <c r="B6" s="402" t="s">
        <v>525</v>
      </c>
      <c r="C6" s="407" t="s">
        <v>268</v>
      </c>
      <c r="D6" s="743" t="s">
        <v>188</v>
      </c>
      <c r="E6" s="743" t="s">
        <v>1417</v>
      </c>
      <c r="F6" s="408"/>
      <c r="G6" s="757"/>
      <c r="H6" s="456"/>
      <c r="I6" s="410">
        <f>ROUND(H5/1000,4)</f>
        <v>0.15</v>
      </c>
      <c r="J6" s="407" t="s">
        <v>50</v>
      </c>
      <c r="K6" s="401" t="s">
        <v>255</v>
      </c>
      <c r="L6" s="401" t="s">
        <v>255</v>
      </c>
      <c r="M6" s="401" t="s">
        <v>255</v>
      </c>
      <c r="N6" s="401"/>
      <c r="O6" s="401"/>
      <c r="P6" s="401"/>
    </row>
    <row r="7" spans="1:16" s="136" customFormat="1" ht="18.75" hidden="1" customHeight="1">
      <c r="A7" s="401"/>
      <c r="B7" s="401"/>
      <c r="C7" s="622"/>
      <c r="D7" s="454"/>
      <c r="E7" s="454"/>
      <c r="F7" s="404"/>
      <c r="G7" s="756" t="str">
        <f>C6</f>
        <v>1/0</v>
      </c>
      <c r="H7" s="456">
        <v>290.20999999999998</v>
      </c>
      <c r="I7" s="410"/>
      <c r="J7" s="407"/>
      <c r="K7" s="401"/>
      <c r="L7" s="401"/>
      <c r="M7" s="401"/>
      <c r="N7" s="401"/>
      <c r="O7" s="401"/>
      <c r="P7" s="401"/>
    </row>
    <row r="8" spans="1:16" s="136" customFormat="1" ht="18.75" customHeight="1">
      <c r="A8" s="401">
        <f>SUBTOTAL(103,$C$6:C8)</f>
        <v>2</v>
      </c>
      <c r="B8" s="402" t="s">
        <v>1251</v>
      </c>
      <c r="C8" s="750" t="s">
        <v>1250</v>
      </c>
      <c r="D8" s="743" t="s">
        <v>178</v>
      </c>
      <c r="E8" s="743" t="s">
        <v>1417</v>
      </c>
      <c r="F8" s="408"/>
      <c r="G8" s="757"/>
      <c r="H8" s="456"/>
      <c r="I8" s="410">
        <f>ROUND(H7/1000,4)+I6</f>
        <v>0.44020000000000004</v>
      </c>
      <c r="J8" s="405" t="s">
        <v>50</v>
      </c>
      <c r="K8" s="401" t="s">
        <v>255</v>
      </c>
      <c r="L8" s="401" t="s">
        <v>255</v>
      </c>
      <c r="M8" s="401" t="s">
        <v>255</v>
      </c>
      <c r="N8" s="401"/>
      <c r="O8" s="401"/>
      <c r="P8" s="401"/>
    </row>
    <row r="9" spans="1:16" s="136" customFormat="1" ht="18.75" hidden="1" customHeight="1">
      <c r="A9" s="401"/>
      <c r="B9" s="401"/>
      <c r="C9" s="622"/>
      <c r="D9" s="454"/>
      <c r="E9" s="454"/>
      <c r="F9" s="404"/>
      <c r="G9" s="756" t="str">
        <f>C8</f>
        <v>2A/0</v>
      </c>
      <c r="H9" s="456">
        <v>378</v>
      </c>
      <c r="I9" s="410"/>
      <c r="J9" s="407"/>
      <c r="K9" s="401"/>
      <c r="L9" s="401"/>
      <c r="M9" s="401"/>
      <c r="N9" s="401"/>
      <c r="O9" s="401"/>
      <c r="P9" s="401"/>
    </row>
    <row r="10" spans="1:16" s="136" customFormat="1" ht="18.75" customHeight="1">
      <c r="A10" s="401">
        <f>SUBTOTAL(103,$C$6:C10)</f>
        <v>3</v>
      </c>
      <c r="B10" s="402" t="s">
        <v>527</v>
      </c>
      <c r="C10" s="407" t="s">
        <v>1252</v>
      </c>
      <c r="D10" s="623" t="s">
        <v>3</v>
      </c>
      <c r="E10" s="623"/>
      <c r="F10" s="404"/>
      <c r="G10" s="403"/>
      <c r="H10" s="456"/>
      <c r="I10" s="410">
        <f>ROUND(H9/1000,4)+I8</f>
        <v>0.81820000000000004</v>
      </c>
      <c r="J10" s="405" t="s">
        <v>50</v>
      </c>
      <c r="K10" s="401" t="s">
        <v>255</v>
      </c>
      <c r="L10" s="401" t="s">
        <v>255</v>
      </c>
      <c r="M10" s="401" t="s">
        <v>255</v>
      </c>
      <c r="N10" s="401"/>
      <c r="O10" s="401"/>
      <c r="P10" s="401"/>
    </row>
    <row r="11" spans="1:16" s="136" customFormat="1" ht="18.75" hidden="1" customHeight="1">
      <c r="A11" s="401"/>
      <c r="B11" s="401"/>
      <c r="C11" s="622"/>
      <c r="D11" s="454"/>
      <c r="E11" s="454"/>
      <c r="F11" s="404"/>
      <c r="G11" s="756" t="str">
        <f>C10</f>
        <v>2A/1</v>
      </c>
      <c r="H11" s="456">
        <v>381</v>
      </c>
      <c r="I11" s="410"/>
      <c r="J11" s="407"/>
      <c r="K11" s="401"/>
      <c r="L11" s="401"/>
      <c r="M11" s="401"/>
      <c r="N11" s="401"/>
      <c r="O11" s="401"/>
      <c r="P11" s="401"/>
    </row>
    <row r="12" spans="1:16" s="136" customFormat="1" ht="18.75" customHeight="1">
      <c r="A12" s="401">
        <f>SUBTOTAL(103,$C$6:C12)</f>
        <v>4</v>
      </c>
      <c r="B12" s="401"/>
      <c r="C12" s="407" t="s">
        <v>1253</v>
      </c>
      <c r="D12" s="623" t="s">
        <v>2</v>
      </c>
      <c r="E12" s="623"/>
      <c r="F12" s="409"/>
      <c r="G12" s="401"/>
      <c r="H12" s="455"/>
      <c r="I12" s="410">
        <f>ROUND(H11/1000,4)+I10</f>
        <v>1.1992</v>
      </c>
      <c r="J12" s="405" t="s">
        <v>50</v>
      </c>
      <c r="K12" s="401" t="s">
        <v>255</v>
      </c>
      <c r="L12" s="401" t="s">
        <v>255</v>
      </c>
      <c r="M12" s="401" t="s">
        <v>255</v>
      </c>
      <c r="N12" s="401"/>
      <c r="O12" s="401"/>
      <c r="P12" s="401"/>
    </row>
    <row r="13" spans="1:16" s="136" customFormat="1" ht="18.75" hidden="1" customHeight="1">
      <c r="A13" s="401"/>
      <c r="B13" s="401"/>
      <c r="C13" s="622"/>
      <c r="D13" s="454"/>
      <c r="E13" s="454"/>
      <c r="F13" s="404"/>
      <c r="G13" s="756" t="str">
        <f>C12</f>
        <v>2A/2</v>
      </c>
      <c r="H13" s="456">
        <v>419</v>
      </c>
      <c r="I13" s="410"/>
      <c r="J13" s="407"/>
      <c r="K13" s="401"/>
      <c r="L13" s="401"/>
      <c r="M13" s="401"/>
      <c r="N13" s="401"/>
      <c r="O13" s="401"/>
      <c r="P13" s="401"/>
    </row>
    <row r="14" spans="1:16" s="136" customFormat="1" ht="18.75" customHeight="1">
      <c r="A14" s="401">
        <f>SUBTOTAL(103,$C$6:C14)</f>
        <v>5</v>
      </c>
      <c r="B14" s="401"/>
      <c r="C14" s="407" t="s">
        <v>1254</v>
      </c>
      <c r="D14" s="623" t="s">
        <v>2</v>
      </c>
      <c r="E14" s="623"/>
      <c r="F14" s="409"/>
      <c r="G14" s="401"/>
      <c r="H14" s="456"/>
      <c r="I14" s="410">
        <f>ROUND(H13/1000,4)+I12</f>
        <v>1.6182000000000001</v>
      </c>
      <c r="J14" s="405" t="s">
        <v>50</v>
      </c>
      <c r="K14" s="401" t="s">
        <v>255</v>
      </c>
      <c r="L14" s="401" t="s">
        <v>255</v>
      </c>
      <c r="M14" s="401" t="s">
        <v>255</v>
      </c>
      <c r="N14" s="401"/>
      <c r="O14" s="401"/>
      <c r="P14" s="401"/>
    </row>
    <row r="15" spans="1:16" s="136" customFormat="1" ht="18.75" hidden="1" customHeight="1">
      <c r="A15" s="401"/>
      <c r="B15" s="401"/>
      <c r="C15" s="622"/>
      <c r="D15" s="454"/>
      <c r="E15" s="454"/>
      <c r="F15" s="404"/>
      <c r="G15" s="756" t="str">
        <f>C14</f>
        <v>2A/3</v>
      </c>
      <c r="H15" s="456">
        <v>422</v>
      </c>
      <c r="I15" s="410"/>
      <c r="J15" s="407"/>
      <c r="K15" s="401"/>
      <c r="L15" s="401"/>
      <c r="M15" s="401"/>
      <c r="N15" s="401"/>
      <c r="O15" s="401"/>
      <c r="P15" s="401"/>
    </row>
    <row r="16" spans="1:16" s="136" customFormat="1" ht="18.75" customHeight="1">
      <c r="A16" s="401">
        <f>SUBTOTAL(103,$C$6:C16)</f>
        <v>6</v>
      </c>
      <c r="B16" s="401"/>
      <c r="C16" s="407" t="s">
        <v>1255</v>
      </c>
      <c r="D16" s="623" t="s">
        <v>2</v>
      </c>
      <c r="E16" s="623"/>
      <c r="F16" s="409"/>
      <c r="G16" s="401"/>
      <c r="H16" s="456"/>
      <c r="I16" s="410">
        <f>ROUND(H15/1000,4)+I14</f>
        <v>2.0402</v>
      </c>
      <c r="J16" s="405" t="s">
        <v>50</v>
      </c>
      <c r="K16" s="401" t="s">
        <v>255</v>
      </c>
      <c r="L16" s="401" t="s">
        <v>255</v>
      </c>
      <c r="M16" s="401" t="s">
        <v>255</v>
      </c>
      <c r="N16" s="401"/>
      <c r="O16" s="401"/>
      <c r="P16" s="401"/>
    </row>
    <row r="17" spans="1:21" s="136" customFormat="1" ht="18.75" hidden="1" customHeight="1">
      <c r="A17" s="401"/>
      <c r="B17" s="401"/>
      <c r="C17" s="622"/>
      <c r="D17" s="454"/>
      <c r="E17" s="454"/>
      <c r="F17" s="404"/>
      <c r="G17" s="756" t="str">
        <f>C16</f>
        <v>2A/4</v>
      </c>
      <c r="H17" s="456">
        <v>399</v>
      </c>
      <c r="I17" s="410"/>
      <c r="J17" s="407"/>
      <c r="K17" s="401"/>
      <c r="L17" s="401"/>
      <c r="M17" s="401"/>
      <c r="N17" s="401"/>
      <c r="O17" s="401"/>
      <c r="P17" s="401"/>
    </row>
    <row r="18" spans="1:21" s="136" customFormat="1" ht="18.75" customHeight="1">
      <c r="A18" s="401">
        <f>SUBTOTAL(103,$C$6:C18)</f>
        <v>7</v>
      </c>
      <c r="B18" s="401"/>
      <c r="C18" s="407" t="s">
        <v>1256</v>
      </c>
      <c r="D18" s="623" t="s">
        <v>2</v>
      </c>
      <c r="E18" s="623"/>
      <c r="F18" s="409"/>
      <c r="G18" s="401"/>
      <c r="H18" s="456"/>
      <c r="I18" s="410">
        <f>ROUND(H17/1000,4)+I16</f>
        <v>2.4392</v>
      </c>
      <c r="J18" s="405" t="s">
        <v>50</v>
      </c>
      <c r="K18" s="401" t="s">
        <v>255</v>
      </c>
      <c r="L18" s="401" t="s">
        <v>255</v>
      </c>
      <c r="M18" s="401" t="s">
        <v>255</v>
      </c>
      <c r="N18" s="401"/>
      <c r="O18" s="401"/>
      <c r="P18" s="401"/>
    </row>
    <row r="19" spans="1:21" s="136" customFormat="1" ht="18.75" hidden="1" customHeight="1">
      <c r="A19" s="401"/>
      <c r="B19" s="401"/>
      <c r="C19" s="622"/>
      <c r="D19" s="454"/>
      <c r="E19" s="454"/>
      <c r="F19" s="404"/>
      <c r="G19" s="756" t="str">
        <f>C18</f>
        <v>2A/5</v>
      </c>
      <c r="H19" s="456">
        <v>423</v>
      </c>
      <c r="I19" s="410"/>
      <c r="J19" s="407"/>
      <c r="K19" s="401"/>
      <c r="L19" s="401"/>
      <c r="M19" s="401"/>
      <c r="N19" s="401"/>
      <c r="O19" s="401"/>
      <c r="P19" s="401"/>
    </row>
    <row r="20" spans="1:21" s="136" customFormat="1" ht="18.75" customHeight="1">
      <c r="A20" s="401">
        <f>SUBTOTAL(103,$C$6:C20)</f>
        <v>8</v>
      </c>
      <c r="B20" s="401"/>
      <c r="C20" s="407" t="s">
        <v>1257</v>
      </c>
      <c r="D20" s="623" t="s">
        <v>79</v>
      </c>
      <c r="E20" s="623"/>
      <c r="F20" s="409"/>
      <c r="G20" s="401"/>
      <c r="H20" s="456"/>
      <c r="I20" s="410">
        <f>ROUND(H19/1000,4)+I18</f>
        <v>2.8622000000000001</v>
      </c>
      <c r="J20" s="405" t="s">
        <v>50</v>
      </c>
      <c r="K20" s="401" t="s">
        <v>255</v>
      </c>
      <c r="L20" s="401" t="s">
        <v>255</v>
      </c>
      <c r="M20" s="401" t="s">
        <v>255</v>
      </c>
      <c r="N20" s="401"/>
      <c r="O20" s="401"/>
      <c r="P20" s="401"/>
    </row>
    <row r="21" spans="1:21" s="136" customFormat="1" ht="18.75" hidden="1" customHeight="1">
      <c r="A21" s="401"/>
      <c r="B21" s="401"/>
      <c r="C21" s="622"/>
      <c r="D21" s="454"/>
      <c r="E21" s="454"/>
      <c r="F21" s="404"/>
      <c r="G21" s="756" t="str">
        <f>C20</f>
        <v>2A/6</v>
      </c>
      <c r="H21" s="456">
        <v>414.99200000000002</v>
      </c>
      <c r="I21" s="410"/>
      <c r="J21" s="407"/>
      <c r="K21" s="401"/>
      <c r="L21" s="401"/>
      <c r="M21" s="401"/>
      <c r="N21" s="401"/>
      <c r="O21" s="401"/>
      <c r="P21" s="401"/>
    </row>
    <row r="22" spans="1:21" s="136" customFormat="1" ht="18.75" customHeight="1">
      <c r="A22" s="401">
        <f>SUBTOTAL(103,$C$6:C22)</f>
        <v>9</v>
      </c>
      <c r="B22" s="401"/>
      <c r="C22" s="407" t="s">
        <v>1258</v>
      </c>
      <c r="D22" s="623" t="s">
        <v>183</v>
      </c>
      <c r="E22" s="623" t="s">
        <v>1417</v>
      </c>
      <c r="F22" s="409"/>
      <c r="G22" s="401"/>
      <c r="H22" s="456"/>
      <c r="I22" s="410">
        <f>ROUND(H21/1000,4)+I20</f>
        <v>3.2772000000000001</v>
      </c>
      <c r="J22" s="405" t="s">
        <v>50</v>
      </c>
      <c r="K22" s="401" t="s">
        <v>255</v>
      </c>
      <c r="L22" s="401" t="s">
        <v>255</v>
      </c>
      <c r="M22" s="401" t="s">
        <v>255</v>
      </c>
      <c r="N22" s="401"/>
      <c r="O22" s="401"/>
      <c r="P22" s="401"/>
    </row>
    <row r="23" spans="1:21" s="136" customFormat="1" ht="18.75" hidden="1" customHeight="1">
      <c r="A23" s="401"/>
      <c r="B23" s="401"/>
      <c r="C23" s="622"/>
      <c r="D23" s="454"/>
      <c r="E23" s="454"/>
      <c r="F23" s="404"/>
      <c r="G23" s="756" t="str">
        <f>C22</f>
        <v>3A/0</v>
      </c>
      <c r="H23" s="456">
        <v>409</v>
      </c>
      <c r="I23" s="410"/>
      <c r="J23" s="407"/>
      <c r="K23" s="401"/>
      <c r="L23" s="401"/>
      <c r="M23" s="401"/>
      <c r="N23" s="401"/>
      <c r="O23" s="401"/>
      <c r="P23" s="401"/>
    </row>
    <row r="24" spans="1:21" s="136" customFormat="1" ht="18.75" customHeight="1">
      <c r="A24" s="401">
        <f>SUBTOTAL(103,$C$6:C24)</f>
        <v>10</v>
      </c>
      <c r="B24" s="401"/>
      <c r="C24" s="407" t="s">
        <v>1259</v>
      </c>
      <c r="D24" s="623" t="s">
        <v>2</v>
      </c>
      <c r="E24" s="623"/>
      <c r="F24" s="409"/>
      <c r="G24" s="401"/>
      <c r="H24" s="456"/>
      <c r="I24" s="410">
        <f>ROUND(H23/1000,4)+I22</f>
        <v>3.6861999999999999</v>
      </c>
      <c r="J24" s="405" t="s">
        <v>50</v>
      </c>
      <c r="K24" s="401" t="s">
        <v>255</v>
      </c>
      <c r="L24" s="401" t="s">
        <v>255</v>
      </c>
      <c r="M24" s="401" t="s">
        <v>255</v>
      </c>
      <c r="N24" s="401"/>
      <c r="O24" s="401"/>
      <c r="P24" s="401"/>
    </row>
    <row r="25" spans="1:21" s="136" customFormat="1" ht="18.75" hidden="1" customHeight="1">
      <c r="A25" s="401"/>
      <c r="B25" s="401"/>
      <c r="C25" s="622"/>
      <c r="D25" s="454"/>
      <c r="E25" s="454"/>
      <c r="F25" s="404"/>
      <c r="G25" s="756" t="str">
        <f>C24</f>
        <v>3A/1</v>
      </c>
      <c r="H25" s="456">
        <v>402</v>
      </c>
      <c r="I25" s="410"/>
      <c r="J25" s="407"/>
      <c r="K25" s="407"/>
      <c r="L25" s="407"/>
      <c r="M25" s="401"/>
      <c r="N25" s="401"/>
      <c r="O25" s="401"/>
      <c r="P25" s="401"/>
    </row>
    <row r="26" spans="1:21" s="136" customFormat="1" ht="18.75" customHeight="1">
      <c r="A26" s="401">
        <f>SUBTOTAL(103,$C$6:C26)</f>
        <v>11</v>
      </c>
      <c r="B26" s="401"/>
      <c r="C26" s="407" t="s">
        <v>1260</v>
      </c>
      <c r="D26" s="623" t="s">
        <v>2</v>
      </c>
      <c r="E26" s="623"/>
      <c r="F26" s="409"/>
      <c r="G26" s="401"/>
      <c r="H26" s="456"/>
      <c r="I26" s="410">
        <f>ROUND(H25/1000,4)+I24</f>
        <v>4.0881999999999996</v>
      </c>
      <c r="J26" s="405" t="s">
        <v>50</v>
      </c>
      <c r="K26" s="401" t="s">
        <v>255</v>
      </c>
      <c r="L26" s="401" t="s">
        <v>255</v>
      </c>
      <c r="M26" s="401" t="s">
        <v>255</v>
      </c>
      <c r="N26" s="401"/>
      <c r="O26" s="401"/>
      <c r="P26" s="401"/>
    </row>
    <row r="27" spans="1:21" s="136" customFormat="1" ht="18.75" hidden="1" customHeight="1">
      <c r="A27" s="401"/>
      <c r="B27" s="401"/>
      <c r="C27" s="622"/>
      <c r="D27" s="454"/>
      <c r="E27" s="454"/>
      <c r="F27" s="404"/>
      <c r="G27" s="756" t="str">
        <f>C26</f>
        <v>3A/2</v>
      </c>
      <c r="H27" s="456">
        <v>409</v>
      </c>
      <c r="I27" s="410"/>
      <c r="J27" s="407"/>
      <c r="K27" s="407"/>
      <c r="L27" s="407"/>
      <c r="M27" s="401"/>
      <c r="N27" s="401"/>
      <c r="O27" s="401"/>
      <c r="P27" s="401"/>
    </row>
    <row r="28" spans="1:21" s="136" customFormat="1" ht="18.75" customHeight="1">
      <c r="A28" s="401">
        <f>SUBTOTAL(103,$C$6:C28)</f>
        <v>12</v>
      </c>
      <c r="B28" s="401"/>
      <c r="C28" s="407" t="s">
        <v>1261</v>
      </c>
      <c r="D28" s="623" t="s">
        <v>3</v>
      </c>
      <c r="E28" s="623"/>
      <c r="F28" s="409"/>
      <c r="G28" s="401"/>
      <c r="H28" s="456"/>
      <c r="I28" s="410">
        <f>ROUND(H27/1000,4)+I26</f>
        <v>4.4971999999999994</v>
      </c>
      <c r="J28" s="405" t="s">
        <v>50</v>
      </c>
      <c r="K28" s="401" t="s">
        <v>255</v>
      </c>
      <c r="L28" s="401" t="s">
        <v>255</v>
      </c>
      <c r="M28" s="401" t="s">
        <v>255</v>
      </c>
      <c r="N28" s="401"/>
      <c r="O28" s="401" t="s">
        <v>964</v>
      </c>
      <c r="P28" s="401"/>
      <c r="U28" s="136">
        <f>280-6</f>
        <v>274</v>
      </c>
    </row>
    <row r="29" spans="1:21" s="136" customFormat="1" ht="18.75" hidden="1" customHeight="1">
      <c r="A29" s="401"/>
      <c r="B29" s="401"/>
      <c r="C29" s="622"/>
      <c r="D29" s="454"/>
      <c r="E29" s="454"/>
      <c r="F29" s="404"/>
      <c r="G29" s="756" t="str">
        <f>C28</f>
        <v>3A/3</v>
      </c>
      <c r="H29" s="456">
        <v>337</v>
      </c>
      <c r="I29" s="410"/>
      <c r="J29" s="407"/>
      <c r="K29" s="407"/>
      <c r="L29" s="407"/>
      <c r="M29" s="401"/>
      <c r="N29" s="401"/>
      <c r="O29" s="401"/>
      <c r="P29" s="401"/>
    </row>
    <row r="30" spans="1:21" s="136" customFormat="1" ht="18.75" customHeight="1">
      <c r="A30" s="401">
        <f>SUBTOTAL(103,$C$6:C30)</f>
        <v>13</v>
      </c>
      <c r="B30" s="401"/>
      <c r="C30" s="407" t="s">
        <v>1262</v>
      </c>
      <c r="D30" s="623" t="s">
        <v>3</v>
      </c>
      <c r="E30" s="623"/>
      <c r="F30" s="409"/>
      <c r="G30" s="401"/>
      <c r="H30" s="456"/>
      <c r="I30" s="410">
        <f>ROUND(H29/1000,4)+I28</f>
        <v>4.8341999999999992</v>
      </c>
      <c r="J30" s="405" t="s">
        <v>50</v>
      </c>
      <c r="K30" s="401" t="s">
        <v>255</v>
      </c>
      <c r="L30" s="401" t="s">
        <v>255</v>
      </c>
      <c r="M30" s="401" t="s">
        <v>255</v>
      </c>
      <c r="N30" s="401"/>
      <c r="O30" s="401"/>
      <c r="P30" s="401"/>
    </row>
    <row r="31" spans="1:21" s="136" customFormat="1" ht="18.75" hidden="1" customHeight="1">
      <c r="A31" s="401"/>
      <c r="B31" s="401"/>
      <c r="C31" s="622"/>
      <c r="D31" s="454"/>
      <c r="E31" s="454"/>
      <c r="F31" s="404"/>
      <c r="G31" s="756" t="str">
        <f>C30</f>
        <v>3A/4</v>
      </c>
      <c r="H31" s="456">
        <v>365</v>
      </c>
      <c r="I31" s="410"/>
      <c r="J31" s="407"/>
      <c r="K31" s="407"/>
      <c r="L31" s="407"/>
      <c r="M31" s="401"/>
      <c r="N31" s="401"/>
      <c r="O31" s="401"/>
      <c r="P31" s="401"/>
    </row>
    <row r="32" spans="1:21" s="136" customFormat="1" ht="18.75" customHeight="1">
      <c r="A32" s="401">
        <f>SUBTOTAL(103,$C$6:C32)</f>
        <v>14</v>
      </c>
      <c r="B32" s="401"/>
      <c r="C32" s="407" t="s">
        <v>1263</v>
      </c>
      <c r="D32" s="623" t="s">
        <v>2</v>
      </c>
      <c r="E32" s="623"/>
      <c r="F32" s="409"/>
      <c r="G32" s="401"/>
      <c r="H32" s="456"/>
      <c r="I32" s="410">
        <f>ROUND(H31/1000,4)+I30</f>
        <v>5.1991999999999994</v>
      </c>
      <c r="J32" s="405" t="s">
        <v>50</v>
      </c>
      <c r="K32" s="401" t="s">
        <v>255</v>
      </c>
      <c r="L32" s="401" t="s">
        <v>255</v>
      </c>
      <c r="M32" s="401" t="s">
        <v>255</v>
      </c>
      <c r="N32" s="401"/>
      <c r="O32" s="401"/>
      <c r="P32" s="401"/>
    </row>
    <row r="33" spans="1:21" s="136" customFormat="1" ht="18.75" hidden="1" customHeight="1">
      <c r="A33" s="401"/>
      <c r="B33" s="401"/>
      <c r="C33" s="622"/>
      <c r="D33" s="454"/>
      <c r="E33" s="454"/>
      <c r="F33" s="404"/>
      <c r="G33" s="756" t="str">
        <f>C32</f>
        <v>3A/5</v>
      </c>
      <c r="H33" s="456">
        <v>378</v>
      </c>
      <c r="I33" s="410"/>
      <c r="J33" s="407"/>
      <c r="K33" s="407"/>
      <c r="L33" s="407"/>
      <c r="M33" s="401"/>
      <c r="N33" s="401"/>
      <c r="O33" s="401"/>
      <c r="P33" s="401"/>
    </row>
    <row r="34" spans="1:21" s="577" customFormat="1" ht="18.75" customHeight="1">
      <c r="A34" s="401">
        <f>SUBTOTAL(103,$C$6:C34)</f>
        <v>15</v>
      </c>
      <c r="B34" s="574" t="s">
        <v>539</v>
      </c>
      <c r="C34" s="574" t="s">
        <v>1264</v>
      </c>
      <c r="D34" s="744" t="s">
        <v>3</v>
      </c>
      <c r="E34" s="744"/>
      <c r="F34" s="575"/>
      <c r="G34" s="758"/>
      <c r="H34" s="576"/>
      <c r="I34" s="576">
        <f>ROUND(H33/1000,4)+I32</f>
        <v>5.5771999999999995</v>
      </c>
      <c r="J34" s="574" t="s">
        <v>50</v>
      </c>
      <c r="K34" s="574" t="s">
        <v>255</v>
      </c>
      <c r="L34" s="401" t="s">
        <v>255</v>
      </c>
      <c r="M34" s="574" t="s">
        <v>255</v>
      </c>
      <c r="N34" s="401"/>
      <c r="O34" s="574"/>
      <c r="P34" s="574"/>
    </row>
    <row r="35" spans="1:21" s="136" customFormat="1" ht="18.75" hidden="1" customHeight="1">
      <c r="A35" s="401"/>
      <c r="B35" s="401"/>
      <c r="C35" s="622"/>
      <c r="D35" s="454"/>
      <c r="E35" s="454"/>
      <c r="F35" s="404"/>
      <c r="G35" s="756" t="str">
        <f>C34</f>
        <v>3A/6</v>
      </c>
      <c r="H35" s="457">
        <v>391.46699999999998</v>
      </c>
      <c r="I35" s="410"/>
      <c r="J35" s="407"/>
      <c r="K35" s="401"/>
      <c r="L35" s="401"/>
      <c r="M35" s="401"/>
      <c r="N35" s="401"/>
      <c r="O35" s="401"/>
      <c r="P35" s="401"/>
    </row>
    <row r="36" spans="1:21" s="136" customFormat="1" ht="18.75" customHeight="1">
      <c r="A36" s="401">
        <f>SUBTOTAL(103,$C$6:C36)</f>
        <v>16</v>
      </c>
      <c r="B36" s="401"/>
      <c r="C36" s="407" t="s">
        <v>1265</v>
      </c>
      <c r="D36" s="623" t="s">
        <v>211</v>
      </c>
      <c r="E36" s="623"/>
      <c r="F36" s="409"/>
      <c r="G36" s="401"/>
      <c r="H36" s="457"/>
      <c r="I36" s="410">
        <f>ROUND(H35/1000,4)+I34</f>
        <v>5.9686999999999992</v>
      </c>
      <c r="J36" s="405" t="s">
        <v>50</v>
      </c>
      <c r="K36" s="401" t="s">
        <v>255</v>
      </c>
      <c r="L36" s="401" t="s">
        <v>255</v>
      </c>
      <c r="M36" s="401" t="s">
        <v>255</v>
      </c>
      <c r="N36" s="401"/>
      <c r="O36" s="401"/>
      <c r="P36" s="407"/>
    </row>
    <row r="37" spans="1:21" s="136" customFormat="1" ht="18.75" hidden="1" customHeight="1">
      <c r="A37" s="401"/>
      <c r="B37" s="401"/>
      <c r="C37" s="622"/>
      <c r="D37" s="454"/>
      <c r="E37" s="454"/>
      <c r="F37" s="404"/>
      <c r="G37" s="756" t="str">
        <f>C36</f>
        <v>3B/0</v>
      </c>
      <c r="H37" s="457">
        <v>356</v>
      </c>
      <c r="I37" s="410"/>
      <c r="J37" s="407"/>
      <c r="K37" s="401"/>
      <c r="L37" s="401"/>
      <c r="M37" s="401"/>
      <c r="N37" s="401"/>
      <c r="O37" s="401"/>
      <c r="P37" s="401"/>
    </row>
    <row r="38" spans="1:21" s="136" customFormat="1" ht="18.75" customHeight="1">
      <c r="A38" s="401">
        <f>SUBTOTAL(103,$C$6:C38)</f>
        <v>17</v>
      </c>
      <c r="B38" s="401"/>
      <c r="C38" s="407" t="s">
        <v>1266</v>
      </c>
      <c r="D38" s="623" t="s">
        <v>2</v>
      </c>
      <c r="E38" s="623"/>
      <c r="F38" s="409"/>
      <c r="G38" s="401"/>
      <c r="H38" s="457"/>
      <c r="I38" s="410">
        <f>ROUND(H37/1000,4)+I36</f>
        <v>6.3246999999999991</v>
      </c>
      <c r="J38" s="405" t="s">
        <v>50</v>
      </c>
      <c r="K38" s="401" t="s">
        <v>255</v>
      </c>
      <c r="L38" s="401" t="s">
        <v>255</v>
      </c>
      <c r="M38" s="401" t="s">
        <v>255</v>
      </c>
      <c r="N38" s="401"/>
      <c r="O38" s="401"/>
      <c r="P38" s="407"/>
    </row>
    <row r="39" spans="1:21" s="136" customFormat="1" ht="18.75" hidden="1" customHeight="1">
      <c r="A39" s="401"/>
      <c r="B39" s="401"/>
      <c r="C39" s="622"/>
      <c r="D39" s="454"/>
      <c r="E39" s="454"/>
      <c r="F39" s="404"/>
      <c r="G39" s="756" t="str">
        <f>C38</f>
        <v>3B/1</v>
      </c>
      <c r="H39" s="457">
        <v>439</v>
      </c>
      <c r="I39" s="410"/>
      <c r="J39" s="407"/>
      <c r="K39" s="401"/>
      <c r="L39" s="401"/>
      <c r="M39" s="401"/>
      <c r="N39" s="401"/>
      <c r="O39" s="401"/>
      <c r="P39" s="401"/>
    </row>
    <row r="40" spans="1:21" s="136" customFormat="1" ht="18.75" customHeight="1">
      <c r="A40" s="401">
        <f>SUBTOTAL(103,$C$6:C40)</f>
        <v>18</v>
      </c>
      <c r="B40" s="401"/>
      <c r="C40" s="407" t="s">
        <v>1267</v>
      </c>
      <c r="D40" s="623" t="s">
        <v>49</v>
      </c>
      <c r="E40" s="623"/>
      <c r="F40" s="409"/>
      <c r="G40" s="401"/>
      <c r="H40" s="457"/>
      <c r="I40" s="410">
        <f>ROUND(H39/1000,4)+I38</f>
        <v>6.7636999999999992</v>
      </c>
      <c r="J40" s="405" t="s">
        <v>50</v>
      </c>
      <c r="K40" s="401" t="s">
        <v>255</v>
      </c>
      <c r="L40" s="401" t="s">
        <v>255</v>
      </c>
      <c r="M40" s="401" t="s">
        <v>255</v>
      </c>
      <c r="N40" s="401"/>
      <c r="O40" s="401"/>
      <c r="P40" s="407"/>
    </row>
    <row r="41" spans="1:21" s="136" customFormat="1" ht="18.75" hidden="1" customHeight="1">
      <c r="A41" s="401"/>
      <c r="B41" s="401"/>
      <c r="C41" s="622"/>
      <c r="D41" s="454"/>
      <c r="E41" s="454"/>
      <c r="F41" s="404"/>
      <c r="G41" s="756" t="str">
        <f>C40</f>
        <v>3B/2</v>
      </c>
      <c r="H41" s="457">
        <v>377</v>
      </c>
      <c r="I41" s="410"/>
      <c r="J41" s="407"/>
      <c r="K41" s="401"/>
      <c r="L41" s="401"/>
      <c r="M41" s="401"/>
      <c r="N41" s="401"/>
      <c r="O41" s="401"/>
      <c r="P41" s="401"/>
    </row>
    <row r="42" spans="1:21" s="136" customFormat="1" ht="18.75" customHeight="1">
      <c r="A42" s="401">
        <f>SUBTOTAL(103,$C$6:C42)</f>
        <v>19</v>
      </c>
      <c r="B42" s="401"/>
      <c r="C42" s="407" t="s">
        <v>1268</v>
      </c>
      <c r="D42" s="623" t="s">
        <v>79</v>
      </c>
      <c r="E42" s="623"/>
      <c r="F42" s="409"/>
      <c r="G42" s="401"/>
      <c r="H42" s="457"/>
      <c r="I42" s="410">
        <f>ROUND(H41/1000,4)+I40</f>
        <v>7.1406999999999989</v>
      </c>
      <c r="J42" s="405" t="s">
        <v>50</v>
      </c>
      <c r="K42" s="401" t="s">
        <v>255</v>
      </c>
      <c r="L42" s="401" t="s">
        <v>255</v>
      </c>
      <c r="M42" s="401" t="s">
        <v>255</v>
      </c>
      <c r="N42" s="401"/>
      <c r="O42" s="401"/>
      <c r="P42" s="407"/>
    </row>
    <row r="43" spans="1:21" s="136" customFormat="1" ht="18.75" hidden="1" customHeight="1">
      <c r="A43" s="401"/>
      <c r="B43" s="401"/>
      <c r="C43" s="622"/>
      <c r="D43" s="454"/>
      <c r="E43" s="454"/>
      <c r="F43" s="404"/>
      <c r="G43" s="756" t="str">
        <f>C42</f>
        <v>3B/3</v>
      </c>
      <c r="H43" s="457">
        <v>455.07</v>
      </c>
      <c r="I43" s="410"/>
      <c r="J43" s="407"/>
      <c r="K43" s="401"/>
      <c r="L43" s="401"/>
      <c r="M43" s="401"/>
      <c r="N43" s="401"/>
      <c r="O43" s="401"/>
      <c r="P43" s="401"/>
      <c r="U43" s="136">
        <f>306-267</f>
        <v>39</v>
      </c>
    </row>
    <row r="44" spans="1:21" s="136" customFormat="1" ht="18.75" customHeight="1">
      <c r="A44" s="401">
        <f>SUBTOTAL(103,$C$6:C44)</f>
        <v>20</v>
      </c>
      <c r="B44" s="401"/>
      <c r="C44" s="622" t="s">
        <v>256</v>
      </c>
      <c r="D44" s="454" t="s">
        <v>215</v>
      </c>
      <c r="E44" s="454"/>
      <c r="F44" s="404"/>
      <c r="G44" s="756"/>
      <c r="H44" s="457"/>
      <c r="I44" s="410">
        <f>ROUND(H43/1000,4)+I42</f>
        <v>7.5957999999999988</v>
      </c>
      <c r="J44" s="407" t="s">
        <v>50</v>
      </c>
      <c r="K44" s="401" t="s">
        <v>255</v>
      </c>
      <c r="L44" s="401" t="s">
        <v>255</v>
      </c>
      <c r="M44" s="401" t="s">
        <v>255</v>
      </c>
      <c r="N44" s="401"/>
      <c r="O44" s="401"/>
      <c r="P44" s="401"/>
    </row>
    <row r="45" spans="1:21" s="136" customFormat="1" ht="18.75" hidden="1" customHeight="1">
      <c r="A45" s="401"/>
      <c r="B45" s="401"/>
      <c r="C45" s="622"/>
      <c r="D45" s="454"/>
      <c r="E45" s="454"/>
      <c r="F45" s="404"/>
      <c r="G45" s="756" t="str">
        <f>C44</f>
        <v>4/0</v>
      </c>
      <c r="H45" s="457">
        <v>344.16300000000001</v>
      </c>
      <c r="I45" s="410"/>
      <c r="J45" s="407"/>
      <c r="K45" s="401"/>
      <c r="L45" s="401"/>
      <c r="M45" s="401"/>
      <c r="N45" s="401"/>
      <c r="O45" s="401"/>
      <c r="P45" s="401"/>
    </row>
    <row r="46" spans="1:21" s="136" customFormat="1" ht="18.75" customHeight="1">
      <c r="A46" s="401">
        <f>SUBTOTAL(103,$C$6:C46)</f>
        <v>21</v>
      </c>
      <c r="B46" s="401"/>
      <c r="C46" s="407" t="s">
        <v>454</v>
      </c>
      <c r="D46" s="623" t="s">
        <v>79</v>
      </c>
      <c r="E46" s="623"/>
      <c r="F46" s="409"/>
      <c r="G46" s="401"/>
      <c r="H46" s="457"/>
      <c r="I46" s="410">
        <f>ROUND(H45/1000,4)+I44</f>
        <v>7.9399999999999986</v>
      </c>
      <c r="J46" s="405" t="s">
        <v>50</v>
      </c>
      <c r="K46" s="401" t="s">
        <v>255</v>
      </c>
      <c r="L46" s="401" t="s">
        <v>255</v>
      </c>
      <c r="M46" s="401" t="s">
        <v>255</v>
      </c>
      <c r="N46" s="401"/>
      <c r="O46" s="401"/>
      <c r="P46" s="407" t="s">
        <v>1269</v>
      </c>
    </row>
    <row r="47" spans="1:21" s="136" customFormat="1" ht="18.75" hidden="1" customHeight="1">
      <c r="A47" s="401"/>
      <c r="B47" s="401"/>
      <c r="C47" s="622"/>
      <c r="D47" s="454"/>
      <c r="E47" s="454"/>
      <c r="F47" s="404"/>
      <c r="G47" s="756" t="str">
        <f>C46</f>
        <v>4/1</v>
      </c>
      <c r="H47" s="457">
        <v>365</v>
      </c>
      <c r="I47" s="410"/>
      <c r="J47" s="407"/>
      <c r="K47" s="401"/>
      <c r="L47" s="401"/>
      <c r="M47" s="401"/>
      <c r="N47" s="401"/>
      <c r="O47" s="401"/>
      <c r="P47" s="401"/>
    </row>
    <row r="48" spans="1:21" s="653" customFormat="1" ht="18.75" customHeight="1">
      <c r="A48" s="401">
        <f>SUBTOTAL(103,$C$6:C48)</f>
        <v>22</v>
      </c>
      <c r="B48" s="407" t="s">
        <v>891</v>
      </c>
      <c r="C48" s="407" t="s">
        <v>892</v>
      </c>
      <c r="D48" s="623" t="s">
        <v>226</v>
      </c>
      <c r="E48" s="623"/>
      <c r="F48" s="454"/>
      <c r="G48" s="407"/>
      <c r="H48" s="457"/>
      <c r="I48" s="457">
        <f>ROUND(H47/1000,4)+I46</f>
        <v>8.3049999999999979</v>
      </c>
      <c r="J48" s="407" t="s">
        <v>50</v>
      </c>
      <c r="K48" s="407" t="s">
        <v>255</v>
      </c>
      <c r="L48" s="401" t="s">
        <v>255</v>
      </c>
      <c r="M48" s="407" t="s">
        <v>255</v>
      </c>
      <c r="N48" s="401"/>
      <c r="O48" s="407"/>
      <c r="P48" s="407"/>
    </row>
    <row r="49" spans="1:16" s="136" customFormat="1" ht="18.75" hidden="1" customHeight="1">
      <c r="A49" s="401"/>
      <c r="B49" s="401"/>
      <c r="C49" s="622"/>
      <c r="D49" s="454"/>
      <c r="E49" s="454"/>
      <c r="F49" s="404"/>
      <c r="G49" s="756" t="str">
        <f>C48</f>
        <v>4A/0</v>
      </c>
      <c r="H49" s="457">
        <v>340</v>
      </c>
      <c r="I49" s="410"/>
      <c r="J49" s="407"/>
      <c r="K49" s="401"/>
      <c r="L49" s="401"/>
      <c r="M49" s="401"/>
      <c r="N49" s="401"/>
      <c r="O49" s="401"/>
      <c r="P49" s="401"/>
    </row>
    <row r="50" spans="1:16" s="136" customFormat="1" ht="18.75" customHeight="1">
      <c r="A50" s="401">
        <f>SUBTOTAL(103,$C$6:C50)</f>
        <v>23</v>
      </c>
      <c r="B50" s="401"/>
      <c r="C50" s="407" t="s">
        <v>893</v>
      </c>
      <c r="D50" s="623" t="s">
        <v>79</v>
      </c>
      <c r="E50" s="623"/>
      <c r="F50" s="409"/>
      <c r="G50" s="401"/>
      <c r="H50" s="457"/>
      <c r="I50" s="410">
        <f>ROUND(H49/1000,4)+I48</f>
        <v>8.6449999999999978</v>
      </c>
      <c r="J50" s="405" t="s">
        <v>50</v>
      </c>
      <c r="K50" s="401" t="s">
        <v>255</v>
      </c>
      <c r="L50" s="401" t="s">
        <v>255</v>
      </c>
      <c r="M50" s="401" t="s">
        <v>255</v>
      </c>
      <c r="N50" s="401"/>
      <c r="O50" s="401"/>
      <c r="P50" s="407"/>
    </row>
    <row r="51" spans="1:16" s="136" customFormat="1" ht="18.75" hidden="1" customHeight="1">
      <c r="A51" s="401"/>
      <c r="B51" s="401"/>
      <c r="C51" s="622"/>
      <c r="D51" s="454"/>
      <c r="E51" s="454"/>
      <c r="F51" s="404"/>
      <c r="G51" s="756" t="str">
        <f>C50</f>
        <v>4A/1</v>
      </c>
      <c r="H51" s="457">
        <v>420</v>
      </c>
      <c r="I51" s="410"/>
      <c r="J51" s="407"/>
      <c r="K51" s="401"/>
      <c r="L51" s="401"/>
      <c r="M51" s="401"/>
      <c r="N51" s="401"/>
      <c r="O51" s="401"/>
      <c r="P51" s="401"/>
    </row>
    <row r="52" spans="1:16" s="136" customFormat="1" ht="18.75" customHeight="1">
      <c r="A52" s="401">
        <f>SUBTOTAL(103,$C$6:C52)</f>
        <v>24</v>
      </c>
      <c r="B52" s="401"/>
      <c r="C52" s="407" t="s">
        <v>894</v>
      </c>
      <c r="D52" s="623" t="s">
        <v>79</v>
      </c>
      <c r="E52" s="623"/>
      <c r="F52" s="409"/>
      <c r="G52" s="401"/>
      <c r="H52" s="457"/>
      <c r="I52" s="410">
        <f>ROUND(H51/1000,4)+I50</f>
        <v>9.0649999999999977</v>
      </c>
      <c r="J52" s="405" t="s">
        <v>50</v>
      </c>
      <c r="K52" s="401" t="s">
        <v>255</v>
      </c>
      <c r="L52" s="401" t="s">
        <v>255</v>
      </c>
      <c r="M52" s="401" t="s">
        <v>255</v>
      </c>
      <c r="N52" s="401"/>
      <c r="O52" s="401"/>
      <c r="P52" s="407"/>
    </row>
    <row r="53" spans="1:16" s="136" customFormat="1" ht="18.75" hidden="1" customHeight="1">
      <c r="A53" s="401"/>
      <c r="B53" s="401"/>
      <c r="C53" s="622"/>
      <c r="D53" s="454"/>
      <c r="E53" s="454"/>
      <c r="F53" s="404"/>
      <c r="G53" s="756" t="str">
        <f>C52</f>
        <v>4A/2</v>
      </c>
      <c r="H53" s="457">
        <v>415</v>
      </c>
      <c r="I53" s="410"/>
      <c r="J53" s="407"/>
      <c r="K53" s="401"/>
      <c r="L53" s="401"/>
      <c r="M53" s="401"/>
      <c r="N53" s="401"/>
      <c r="O53" s="401"/>
      <c r="P53" s="401"/>
    </row>
    <row r="54" spans="1:16" s="136" customFormat="1" ht="18.75" customHeight="1">
      <c r="A54" s="401">
        <f>SUBTOTAL(103,$C$6:C54)</f>
        <v>25</v>
      </c>
      <c r="B54" s="401"/>
      <c r="C54" s="407" t="s">
        <v>895</v>
      </c>
      <c r="D54" s="623" t="s">
        <v>49</v>
      </c>
      <c r="E54" s="623"/>
      <c r="F54" s="409"/>
      <c r="G54" s="401"/>
      <c r="H54" s="457"/>
      <c r="I54" s="410">
        <f>ROUND(H53/1000,4)+I52</f>
        <v>9.4799999999999969</v>
      </c>
      <c r="J54" s="405" t="s">
        <v>50</v>
      </c>
      <c r="K54" s="401" t="s">
        <v>255</v>
      </c>
      <c r="L54" s="401" t="s">
        <v>255</v>
      </c>
      <c r="M54" s="401" t="s">
        <v>255</v>
      </c>
      <c r="N54" s="401"/>
      <c r="O54" s="401"/>
      <c r="P54" s="407"/>
    </row>
    <row r="55" spans="1:16" s="136" customFormat="1" ht="18.75" hidden="1" customHeight="1">
      <c r="A55" s="401"/>
      <c r="B55" s="401"/>
      <c r="C55" s="622"/>
      <c r="D55" s="454"/>
      <c r="E55" s="454"/>
      <c r="F55" s="404"/>
      <c r="G55" s="756" t="str">
        <f>C54</f>
        <v>4A/3</v>
      </c>
      <c r="H55" s="457">
        <v>365</v>
      </c>
      <c r="I55" s="410"/>
      <c r="J55" s="407"/>
      <c r="K55" s="401"/>
      <c r="L55" s="401"/>
      <c r="M55" s="401"/>
      <c r="N55" s="401"/>
      <c r="O55" s="401"/>
      <c r="P55" s="401"/>
    </row>
    <row r="56" spans="1:16" s="136" customFormat="1" ht="18.75" customHeight="1">
      <c r="A56" s="401">
        <f>SUBTOTAL(103,$C$6:C56)</f>
        <v>26</v>
      </c>
      <c r="B56" s="401"/>
      <c r="C56" s="407" t="s">
        <v>896</v>
      </c>
      <c r="D56" s="623" t="s">
        <v>79</v>
      </c>
      <c r="E56" s="623"/>
      <c r="F56" s="409"/>
      <c r="G56" s="401"/>
      <c r="H56" s="457"/>
      <c r="I56" s="410">
        <f>ROUND(H55/1000,4)+I54</f>
        <v>9.8449999999999971</v>
      </c>
      <c r="J56" s="405" t="s">
        <v>50</v>
      </c>
      <c r="K56" s="401" t="s">
        <v>255</v>
      </c>
      <c r="L56" s="401" t="s">
        <v>255</v>
      </c>
      <c r="M56" s="401" t="s">
        <v>255</v>
      </c>
      <c r="N56" s="401"/>
      <c r="O56" s="401"/>
      <c r="P56" s="407"/>
    </row>
    <row r="57" spans="1:16" s="136" customFormat="1" ht="18.75" hidden="1" customHeight="1">
      <c r="A57" s="401"/>
      <c r="B57" s="401"/>
      <c r="C57" s="622"/>
      <c r="D57" s="454"/>
      <c r="E57" s="454"/>
      <c r="F57" s="404"/>
      <c r="G57" s="756" t="str">
        <f>C56</f>
        <v>4A/4</v>
      </c>
      <c r="H57" s="457">
        <v>330</v>
      </c>
      <c r="I57" s="410"/>
      <c r="J57" s="407"/>
      <c r="K57" s="401"/>
      <c r="L57" s="401"/>
      <c r="M57" s="401"/>
      <c r="N57" s="401"/>
      <c r="O57" s="401"/>
      <c r="P57" s="401"/>
    </row>
    <row r="58" spans="1:16" s="136" customFormat="1" ht="18.75" customHeight="1">
      <c r="A58" s="401">
        <f>SUBTOTAL(103,$C$6:C58)</f>
        <v>27</v>
      </c>
      <c r="B58" s="401"/>
      <c r="C58" s="407" t="s">
        <v>897</v>
      </c>
      <c r="D58" s="623" t="s">
        <v>49</v>
      </c>
      <c r="E58" s="623"/>
      <c r="F58" s="409"/>
      <c r="G58" s="401"/>
      <c r="H58" s="457"/>
      <c r="I58" s="410">
        <f>ROUND(H57/1000,4)+I56</f>
        <v>10.174999999999997</v>
      </c>
      <c r="J58" s="405" t="s">
        <v>50</v>
      </c>
      <c r="K58" s="401" t="s">
        <v>255</v>
      </c>
      <c r="L58" s="401" t="s">
        <v>255</v>
      </c>
      <c r="M58" s="401" t="s">
        <v>255</v>
      </c>
      <c r="N58" s="401"/>
      <c r="O58" s="401"/>
      <c r="P58" s="407"/>
    </row>
    <row r="59" spans="1:16" s="136" customFormat="1" ht="18.75" hidden="1" customHeight="1">
      <c r="A59" s="401"/>
      <c r="B59" s="401"/>
      <c r="C59" s="622"/>
      <c r="D59" s="454"/>
      <c r="E59" s="454"/>
      <c r="F59" s="404"/>
      <c r="G59" s="756" t="str">
        <f>C58</f>
        <v>4A/5</v>
      </c>
      <c r="H59" s="457">
        <v>457</v>
      </c>
      <c r="I59" s="410"/>
      <c r="J59" s="407"/>
      <c r="K59" s="401"/>
      <c r="L59" s="401"/>
      <c r="M59" s="401"/>
      <c r="N59" s="401"/>
      <c r="O59" s="401"/>
      <c r="P59" s="401"/>
    </row>
    <row r="60" spans="1:16" s="136" customFormat="1" ht="18.75" customHeight="1">
      <c r="A60" s="401">
        <f>SUBTOTAL(103,$C$6:C60)</f>
        <v>28</v>
      </c>
      <c r="B60" s="401"/>
      <c r="C60" s="407" t="s">
        <v>898</v>
      </c>
      <c r="D60" s="623" t="s">
        <v>49</v>
      </c>
      <c r="E60" s="623"/>
      <c r="F60" s="409"/>
      <c r="G60" s="401"/>
      <c r="H60" s="457"/>
      <c r="I60" s="410">
        <f>ROUND(H59/1000,4)+I58</f>
        <v>10.631999999999998</v>
      </c>
      <c r="J60" s="405" t="s">
        <v>50</v>
      </c>
      <c r="K60" s="401" t="s">
        <v>255</v>
      </c>
      <c r="L60" s="401" t="s">
        <v>255</v>
      </c>
      <c r="M60" s="401" t="s">
        <v>255</v>
      </c>
      <c r="N60" s="401"/>
      <c r="O60" s="401"/>
      <c r="P60" s="407"/>
    </row>
    <row r="61" spans="1:16" s="136" customFormat="1" ht="18.75" hidden="1" customHeight="1">
      <c r="A61" s="401"/>
      <c r="B61" s="401"/>
      <c r="C61" s="622"/>
      <c r="D61" s="454"/>
      <c r="E61" s="454"/>
      <c r="F61" s="404"/>
      <c r="G61" s="756" t="str">
        <f>C60</f>
        <v>4A/6</v>
      </c>
      <c r="H61" s="457">
        <v>354.61099999999999</v>
      </c>
      <c r="I61" s="410"/>
      <c r="J61" s="407"/>
      <c r="K61" s="401"/>
      <c r="L61" s="401"/>
      <c r="M61" s="401"/>
      <c r="N61" s="401"/>
      <c r="O61" s="401"/>
      <c r="P61" s="401"/>
    </row>
    <row r="62" spans="1:16" s="136" customFormat="1" ht="18.75" customHeight="1">
      <c r="A62" s="401">
        <f>SUBTOTAL(103,$C$6:C62)</f>
        <v>29</v>
      </c>
      <c r="B62" s="402" t="s">
        <v>1139</v>
      </c>
      <c r="C62" s="407" t="s">
        <v>257</v>
      </c>
      <c r="D62" s="623" t="s">
        <v>227</v>
      </c>
      <c r="E62" s="623"/>
      <c r="F62" s="404"/>
      <c r="G62" s="403"/>
      <c r="H62" s="456"/>
      <c r="I62" s="410">
        <f>ROUND(H61/1000,4)+I60</f>
        <v>10.986599999999997</v>
      </c>
      <c r="J62" s="405" t="s">
        <v>50</v>
      </c>
      <c r="K62" s="401" t="s">
        <v>255</v>
      </c>
      <c r="L62" s="401" t="s">
        <v>255</v>
      </c>
      <c r="M62" s="401" t="s">
        <v>255</v>
      </c>
      <c r="N62" s="401"/>
      <c r="O62" s="401" t="s">
        <v>964</v>
      </c>
      <c r="P62" s="407"/>
    </row>
    <row r="63" spans="1:16" s="136" customFormat="1" ht="18.75" hidden="1" customHeight="1">
      <c r="A63" s="401"/>
      <c r="B63" s="401"/>
      <c r="C63" s="622"/>
      <c r="D63" s="454"/>
      <c r="E63" s="454"/>
      <c r="F63" s="404"/>
      <c r="G63" s="756" t="str">
        <f>C62</f>
        <v>5/0</v>
      </c>
      <c r="H63" s="456">
        <v>428.38900000000001</v>
      </c>
      <c r="I63" s="410"/>
      <c r="J63" s="407"/>
      <c r="K63" s="401"/>
      <c r="L63" s="401"/>
      <c r="M63" s="401"/>
      <c r="N63" s="401"/>
      <c r="O63" s="401"/>
      <c r="P63" s="401"/>
    </row>
    <row r="64" spans="1:16" s="136" customFormat="1" ht="18.75" customHeight="1">
      <c r="A64" s="401">
        <f>SUBTOTAL(103,$C$6:C64)</f>
        <v>30</v>
      </c>
      <c r="B64" s="401"/>
      <c r="C64" s="407" t="s">
        <v>459</v>
      </c>
      <c r="D64" s="623" t="s">
        <v>79</v>
      </c>
      <c r="E64" s="623"/>
      <c r="F64" s="409"/>
      <c r="G64" s="401"/>
      <c r="H64" s="456"/>
      <c r="I64" s="410">
        <f>ROUND(H63/1000,4)+I62</f>
        <v>11.414999999999997</v>
      </c>
      <c r="J64" s="405" t="s">
        <v>50</v>
      </c>
      <c r="K64" s="401" t="s">
        <v>255</v>
      </c>
      <c r="L64" s="401" t="s">
        <v>255</v>
      </c>
      <c r="M64" s="401" t="s">
        <v>255</v>
      </c>
      <c r="N64" s="401"/>
      <c r="O64" s="401"/>
      <c r="P64" s="407"/>
    </row>
    <row r="65" spans="1:16" s="136" customFormat="1" ht="18.75" hidden="1" customHeight="1">
      <c r="A65" s="401"/>
      <c r="B65" s="401"/>
      <c r="C65" s="622"/>
      <c r="D65" s="454"/>
      <c r="E65" s="454"/>
      <c r="F65" s="404"/>
      <c r="G65" s="756" t="str">
        <f>C64</f>
        <v>5/1</v>
      </c>
      <c r="H65" s="456">
        <v>340</v>
      </c>
      <c r="I65" s="410"/>
      <c r="J65" s="407"/>
      <c r="K65" s="401"/>
      <c r="L65" s="401"/>
      <c r="M65" s="401"/>
      <c r="N65" s="401"/>
      <c r="O65" s="401"/>
      <c r="P65" s="401"/>
    </row>
    <row r="66" spans="1:16" s="136" customFormat="1" ht="18.75" customHeight="1">
      <c r="A66" s="401">
        <f>SUBTOTAL(103,$C$6:C66)</f>
        <v>31</v>
      </c>
      <c r="B66" s="401"/>
      <c r="C66" s="407" t="s">
        <v>460</v>
      </c>
      <c r="D66" s="623" t="s">
        <v>49</v>
      </c>
      <c r="E66" s="623"/>
      <c r="F66" s="409"/>
      <c r="G66" s="401"/>
      <c r="H66" s="456"/>
      <c r="I66" s="410">
        <f>ROUND(H65/1000,4)+I64</f>
        <v>11.754999999999997</v>
      </c>
      <c r="J66" s="405" t="s">
        <v>50</v>
      </c>
      <c r="K66" s="401" t="s">
        <v>255</v>
      </c>
      <c r="L66" s="401" t="s">
        <v>255</v>
      </c>
      <c r="M66" s="401" t="s">
        <v>255</v>
      </c>
      <c r="N66" s="401"/>
      <c r="O66" s="401"/>
      <c r="P66" s="407"/>
    </row>
    <row r="67" spans="1:16" s="136" customFormat="1" ht="18.75" hidden="1" customHeight="1">
      <c r="A67" s="401"/>
      <c r="B67" s="401"/>
      <c r="C67" s="622"/>
      <c r="D67" s="454"/>
      <c r="E67" s="454"/>
      <c r="F67" s="404"/>
      <c r="G67" s="756" t="str">
        <f>C66</f>
        <v>5/2</v>
      </c>
      <c r="H67" s="456">
        <v>375</v>
      </c>
      <c r="I67" s="410"/>
      <c r="J67" s="407"/>
      <c r="K67" s="401"/>
      <c r="L67" s="401"/>
      <c r="M67" s="401"/>
      <c r="N67" s="401"/>
      <c r="O67" s="401"/>
      <c r="P67" s="401"/>
    </row>
    <row r="68" spans="1:16" s="136" customFormat="1" ht="18.75" customHeight="1">
      <c r="A68" s="401">
        <f>SUBTOTAL(103,$C$6:C68)</f>
        <v>32</v>
      </c>
      <c r="B68" s="401"/>
      <c r="C68" s="407" t="s">
        <v>461</v>
      </c>
      <c r="D68" s="623" t="s">
        <v>49</v>
      </c>
      <c r="E68" s="623"/>
      <c r="F68" s="409"/>
      <c r="G68" s="401"/>
      <c r="H68" s="456"/>
      <c r="I68" s="410">
        <f>ROUND(H67/1000,4)+I66</f>
        <v>12.129999999999997</v>
      </c>
      <c r="J68" s="405" t="s">
        <v>50</v>
      </c>
      <c r="K68" s="401" t="s">
        <v>255</v>
      </c>
      <c r="L68" s="401" t="s">
        <v>255</v>
      </c>
      <c r="M68" s="401" t="s">
        <v>255</v>
      </c>
      <c r="N68" s="401"/>
      <c r="O68" s="401"/>
      <c r="P68" s="407"/>
    </row>
    <row r="69" spans="1:16" s="136" customFormat="1" ht="18.75" hidden="1" customHeight="1">
      <c r="A69" s="401"/>
      <c r="B69" s="401"/>
      <c r="C69" s="622"/>
      <c r="D69" s="454"/>
      <c r="E69" s="454"/>
      <c r="F69" s="404"/>
      <c r="G69" s="756" t="str">
        <f>C68</f>
        <v>5/3</v>
      </c>
      <c r="H69" s="456">
        <v>365</v>
      </c>
      <c r="I69" s="410"/>
      <c r="J69" s="407"/>
      <c r="K69" s="401"/>
      <c r="L69" s="401"/>
      <c r="M69" s="401"/>
      <c r="N69" s="401"/>
      <c r="O69" s="401"/>
      <c r="P69" s="401"/>
    </row>
    <row r="70" spans="1:16" s="136" customFormat="1" ht="18.75" customHeight="1">
      <c r="A70" s="401">
        <f>SUBTOTAL(103,$C$6:C70)</f>
        <v>33</v>
      </c>
      <c r="B70" s="401"/>
      <c r="C70" s="407" t="s">
        <v>462</v>
      </c>
      <c r="D70" s="623" t="s">
        <v>154</v>
      </c>
      <c r="E70" s="623"/>
      <c r="F70" s="409"/>
      <c r="G70" s="401"/>
      <c r="H70" s="456"/>
      <c r="I70" s="410">
        <f>ROUND(H69/1000,4)+I68</f>
        <v>12.494999999999997</v>
      </c>
      <c r="J70" s="405" t="s">
        <v>50</v>
      </c>
      <c r="K70" s="401" t="s">
        <v>255</v>
      </c>
      <c r="L70" s="401" t="s">
        <v>255</v>
      </c>
      <c r="M70" s="401" t="s">
        <v>255</v>
      </c>
      <c r="N70" s="401"/>
      <c r="O70" s="401"/>
      <c r="P70" s="407"/>
    </row>
    <row r="71" spans="1:16" s="136" customFormat="1" ht="18.75" hidden="1" customHeight="1">
      <c r="A71" s="401"/>
      <c r="B71" s="401"/>
      <c r="C71" s="622"/>
      <c r="D71" s="454"/>
      <c r="E71" s="454"/>
      <c r="F71" s="404"/>
      <c r="G71" s="756" t="str">
        <f>C70</f>
        <v>5/4</v>
      </c>
      <c r="H71" s="456">
        <v>460</v>
      </c>
      <c r="I71" s="410"/>
      <c r="J71" s="407"/>
      <c r="K71" s="401"/>
      <c r="L71" s="401"/>
      <c r="M71" s="401"/>
      <c r="N71" s="401"/>
      <c r="O71" s="401"/>
      <c r="P71" s="401"/>
    </row>
    <row r="72" spans="1:16" s="136" customFormat="1" ht="18.75" customHeight="1">
      <c r="A72" s="401">
        <f>SUBTOTAL(103,$C$6:C72)</f>
        <v>34</v>
      </c>
      <c r="B72" s="401"/>
      <c r="C72" s="407" t="s">
        <v>463</v>
      </c>
      <c r="D72" s="623" t="s">
        <v>79</v>
      </c>
      <c r="E72" s="623"/>
      <c r="F72" s="409"/>
      <c r="G72" s="401"/>
      <c r="H72" s="456"/>
      <c r="I72" s="410">
        <f>ROUND(H71/1000,4)+I70</f>
        <v>12.954999999999998</v>
      </c>
      <c r="J72" s="405" t="s">
        <v>50</v>
      </c>
      <c r="K72" s="401" t="s">
        <v>255</v>
      </c>
      <c r="L72" s="401" t="s">
        <v>255</v>
      </c>
      <c r="M72" s="401" t="s">
        <v>255</v>
      </c>
      <c r="N72" s="401"/>
      <c r="O72" s="401"/>
      <c r="P72" s="407"/>
    </row>
    <row r="73" spans="1:16" s="136" customFormat="1" ht="18.75" hidden="1" customHeight="1">
      <c r="A73" s="401"/>
      <c r="B73" s="401"/>
      <c r="C73" s="622"/>
      <c r="D73" s="454"/>
      <c r="E73" s="454"/>
      <c r="F73" s="404"/>
      <c r="G73" s="756" t="str">
        <f>C72</f>
        <v>5/5</v>
      </c>
      <c r="H73" s="456">
        <v>380</v>
      </c>
      <c r="I73" s="410"/>
      <c r="J73" s="407"/>
      <c r="K73" s="401"/>
      <c r="L73" s="401"/>
      <c r="M73" s="401"/>
      <c r="N73" s="401"/>
      <c r="O73" s="401"/>
      <c r="P73" s="401"/>
    </row>
    <row r="74" spans="1:16" s="136" customFormat="1" ht="18.75" customHeight="1">
      <c r="A74" s="401">
        <f>SUBTOTAL(103,$C$6:C74)</f>
        <v>35</v>
      </c>
      <c r="B74" s="401"/>
      <c r="C74" s="407" t="s">
        <v>464</v>
      </c>
      <c r="D74" s="623" t="s">
        <v>2</v>
      </c>
      <c r="E74" s="623"/>
      <c r="F74" s="409"/>
      <c r="G74" s="401"/>
      <c r="H74" s="456"/>
      <c r="I74" s="410">
        <f>ROUND(H73/1000,4)+I72</f>
        <v>13.334999999999999</v>
      </c>
      <c r="J74" s="405" t="s">
        <v>50</v>
      </c>
      <c r="K74" s="401" t="s">
        <v>255</v>
      </c>
      <c r="L74" s="401" t="s">
        <v>255</v>
      </c>
      <c r="M74" s="401" t="s">
        <v>255</v>
      </c>
      <c r="N74" s="401"/>
      <c r="O74" s="401"/>
      <c r="P74" s="407"/>
    </row>
    <row r="75" spans="1:16" s="136" customFormat="1" ht="18.75" hidden="1" customHeight="1">
      <c r="A75" s="401"/>
      <c r="B75" s="401"/>
      <c r="C75" s="622"/>
      <c r="D75" s="454"/>
      <c r="E75" s="454"/>
      <c r="F75" s="404"/>
      <c r="G75" s="756" t="str">
        <f>C74</f>
        <v>5/6</v>
      </c>
      <c r="H75" s="456">
        <v>410</v>
      </c>
      <c r="I75" s="410"/>
      <c r="J75" s="407"/>
      <c r="K75" s="401"/>
      <c r="L75" s="401"/>
      <c r="M75" s="401"/>
      <c r="N75" s="401"/>
      <c r="O75" s="401"/>
      <c r="P75" s="401"/>
    </row>
    <row r="76" spans="1:16" s="136" customFormat="1" ht="18.75" customHeight="1">
      <c r="A76" s="401">
        <f>SUBTOTAL(103,$C$6:C76)</f>
        <v>36</v>
      </c>
      <c r="B76" s="401"/>
      <c r="C76" s="407" t="s">
        <v>465</v>
      </c>
      <c r="D76" s="623" t="s">
        <v>49</v>
      </c>
      <c r="E76" s="623"/>
      <c r="F76" s="409"/>
      <c r="G76" s="401"/>
      <c r="H76" s="456"/>
      <c r="I76" s="410">
        <f>ROUND(H75/1000,4)+I74</f>
        <v>13.744999999999999</v>
      </c>
      <c r="J76" s="405" t="s">
        <v>50</v>
      </c>
      <c r="K76" s="401" t="s">
        <v>255</v>
      </c>
      <c r="L76" s="401" t="s">
        <v>255</v>
      </c>
      <c r="M76" s="401" t="s">
        <v>255</v>
      </c>
      <c r="N76" s="401"/>
      <c r="O76" s="401"/>
      <c r="P76" s="407"/>
    </row>
    <row r="77" spans="1:16" s="136" customFormat="1" ht="18.75" hidden="1" customHeight="1">
      <c r="A77" s="401"/>
      <c r="B77" s="401"/>
      <c r="C77" s="622"/>
      <c r="D77" s="454"/>
      <c r="E77" s="454"/>
      <c r="F77" s="404"/>
      <c r="G77" s="756" t="str">
        <f>C76</f>
        <v>5/7</v>
      </c>
      <c r="H77" s="456">
        <v>400</v>
      </c>
      <c r="I77" s="410"/>
      <c r="J77" s="407"/>
      <c r="K77" s="401"/>
      <c r="L77" s="401"/>
      <c r="M77" s="401"/>
      <c r="N77" s="401"/>
      <c r="O77" s="401"/>
      <c r="P77" s="401"/>
    </row>
    <row r="78" spans="1:16" s="136" customFormat="1" ht="18.75" customHeight="1">
      <c r="A78" s="401">
        <f>SUBTOTAL(103,$C$6:C78)</f>
        <v>37</v>
      </c>
      <c r="B78" s="401"/>
      <c r="C78" s="407" t="s">
        <v>466</v>
      </c>
      <c r="D78" s="623" t="s">
        <v>79</v>
      </c>
      <c r="E78" s="623"/>
      <c r="F78" s="409"/>
      <c r="G78" s="401"/>
      <c r="H78" s="456"/>
      <c r="I78" s="410">
        <f>ROUND(H77/1000,4)+I76</f>
        <v>14.145</v>
      </c>
      <c r="J78" s="405" t="s">
        <v>50</v>
      </c>
      <c r="K78" s="401" t="s">
        <v>255</v>
      </c>
      <c r="L78" s="401" t="s">
        <v>255</v>
      </c>
      <c r="M78" s="401" t="s">
        <v>255</v>
      </c>
      <c r="N78" s="401"/>
      <c r="O78" s="401"/>
      <c r="P78" s="407"/>
    </row>
    <row r="79" spans="1:16" s="136" customFormat="1" ht="18.75" hidden="1" customHeight="1">
      <c r="A79" s="401"/>
      <c r="B79" s="401"/>
      <c r="C79" s="622"/>
      <c r="D79" s="454"/>
      <c r="E79" s="454"/>
      <c r="F79" s="404"/>
      <c r="G79" s="756" t="str">
        <f>C78</f>
        <v>5/8</v>
      </c>
      <c r="H79" s="456">
        <v>420</v>
      </c>
      <c r="I79" s="410"/>
      <c r="J79" s="407"/>
      <c r="K79" s="401"/>
      <c r="L79" s="401"/>
      <c r="M79" s="401"/>
      <c r="N79" s="401"/>
      <c r="O79" s="401"/>
      <c r="P79" s="401"/>
    </row>
    <row r="80" spans="1:16" s="136" customFormat="1" ht="18.75" customHeight="1">
      <c r="A80" s="401">
        <f>SUBTOTAL(103,$C$6:C80)</f>
        <v>38</v>
      </c>
      <c r="B80" s="401"/>
      <c r="C80" s="407" t="s">
        <v>467</v>
      </c>
      <c r="D80" s="623" t="s">
        <v>79</v>
      </c>
      <c r="E80" s="623"/>
      <c r="F80" s="409"/>
      <c r="G80" s="401"/>
      <c r="H80" s="456"/>
      <c r="I80" s="410">
        <f>ROUND(H79/1000,4)+I78</f>
        <v>14.565</v>
      </c>
      <c r="J80" s="405" t="s">
        <v>50</v>
      </c>
      <c r="K80" s="401" t="s">
        <v>255</v>
      </c>
      <c r="L80" s="401" t="s">
        <v>255</v>
      </c>
      <c r="M80" s="401" t="s">
        <v>255</v>
      </c>
      <c r="N80" s="401"/>
      <c r="O80" s="401"/>
      <c r="P80" s="407"/>
    </row>
    <row r="81" spans="1:16" s="136" customFormat="1" ht="18.75" hidden="1" customHeight="1">
      <c r="A81" s="401"/>
      <c r="B81" s="401"/>
      <c r="C81" s="622"/>
      <c r="D81" s="454"/>
      <c r="E81" s="454"/>
      <c r="F81" s="404"/>
      <c r="G81" s="756" t="str">
        <f>C80</f>
        <v>5/9</v>
      </c>
      <c r="H81" s="456">
        <v>345</v>
      </c>
      <c r="I81" s="410"/>
      <c r="J81" s="407"/>
      <c r="K81" s="401"/>
      <c r="L81" s="401"/>
      <c r="M81" s="401"/>
      <c r="N81" s="401"/>
      <c r="O81" s="401"/>
      <c r="P81" s="401"/>
    </row>
    <row r="82" spans="1:16" s="136" customFormat="1" ht="18.75" customHeight="1">
      <c r="A82" s="401">
        <f>SUBTOTAL(103,$C$6:C82)</f>
        <v>39</v>
      </c>
      <c r="B82" s="401"/>
      <c r="C82" s="407" t="s">
        <v>468</v>
      </c>
      <c r="D82" s="623" t="s">
        <v>49</v>
      </c>
      <c r="E82" s="623"/>
      <c r="F82" s="409"/>
      <c r="G82" s="401"/>
      <c r="H82" s="456"/>
      <c r="I82" s="410">
        <f>ROUND(H81/1000,4)+I80</f>
        <v>14.91</v>
      </c>
      <c r="J82" s="405" t="s">
        <v>50</v>
      </c>
      <c r="K82" s="401" t="s">
        <v>255</v>
      </c>
      <c r="L82" s="401" t="s">
        <v>255</v>
      </c>
      <c r="M82" s="401" t="s">
        <v>255</v>
      </c>
      <c r="N82" s="401" t="s">
        <v>964</v>
      </c>
      <c r="O82" s="401"/>
      <c r="P82" s="407"/>
    </row>
    <row r="83" spans="1:16" s="136" customFormat="1" ht="18.75" hidden="1" customHeight="1">
      <c r="A83" s="401"/>
      <c r="B83" s="401"/>
      <c r="C83" s="622"/>
      <c r="D83" s="454"/>
      <c r="E83" s="454"/>
      <c r="F83" s="404"/>
      <c r="G83" s="756" t="str">
        <f>C82</f>
        <v>5/10</v>
      </c>
      <c r="H83" s="456">
        <v>495</v>
      </c>
      <c r="I83" s="410"/>
      <c r="J83" s="407"/>
      <c r="K83" s="401"/>
      <c r="L83" s="401"/>
      <c r="M83" s="401"/>
      <c r="N83" s="401"/>
      <c r="O83" s="401"/>
      <c r="P83" s="401"/>
    </row>
    <row r="84" spans="1:16" s="136" customFormat="1" ht="18.75" customHeight="1">
      <c r="A84" s="401">
        <f>SUBTOTAL(103,$C$6:C84)</f>
        <v>40</v>
      </c>
      <c r="B84" s="402" t="s">
        <v>673</v>
      </c>
      <c r="C84" s="407" t="s">
        <v>674</v>
      </c>
      <c r="D84" s="623" t="s">
        <v>403</v>
      </c>
      <c r="E84" s="623"/>
      <c r="F84" s="404"/>
      <c r="G84" s="403"/>
      <c r="H84" s="456"/>
      <c r="I84" s="410">
        <f>ROUND(H83/1000,4)+I82</f>
        <v>15.404999999999999</v>
      </c>
      <c r="J84" s="405" t="s">
        <v>50</v>
      </c>
      <c r="K84" s="401" t="s">
        <v>255</v>
      </c>
      <c r="L84" s="401" t="s">
        <v>255</v>
      </c>
      <c r="M84" s="401" t="s">
        <v>255</v>
      </c>
      <c r="N84" s="401"/>
      <c r="O84" s="401"/>
      <c r="P84" s="407"/>
    </row>
    <row r="85" spans="1:16" s="136" customFormat="1" ht="18.75" hidden="1" customHeight="1">
      <c r="A85" s="401"/>
      <c r="B85" s="401"/>
      <c r="C85" s="622"/>
      <c r="D85" s="454"/>
      <c r="E85" s="454"/>
      <c r="F85" s="404"/>
      <c r="G85" s="756" t="str">
        <f>C84</f>
        <v>5A/0</v>
      </c>
      <c r="H85" s="456">
        <v>419.48</v>
      </c>
      <c r="I85" s="410"/>
      <c r="J85" s="407"/>
      <c r="K85" s="401"/>
      <c r="L85" s="401"/>
      <c r="M85" s="401"/>
      <c r="N85" s="401"/>
      <c r="O85" s="401"/>
      <c r="P85" s="401"/>
    </row>
    <row r="86" spans="1:16" s="548" customFormat="1" ht="18.75" customHeight="1">
      <c r="A86" s="401">
        <f>SUBTOTAL(103,$C$6:C86)</f>
        <v>41</v>
      </c>
      <c r="B86" s="544" t="s">
        <v>541</v>
      </c>
      <c r="C86" s="745" t="s">
        <v>258</v>
      </c>
      <c r="D86" s="746" t="s">
        <v>211</v>
      </c>
      <c r="E86" s="746"/>
      <c r="F86" s="546"/>
      <c r="G86" s="545"/>
      <c r="H86" s="549"/>
      <c r="I86" s="547">
        <f>ROUND(H85/1000,4)+I84</f>
        <v>15.824499999999999</v>
      </c>
      <c r="J86" s="544" t="s">
        <v>50</v>
      </c>
      <c r="K86" s="544" t="s">
        <v>255</v>
      </c>
      <c r="L86" s="544" t="s">
        <v>255</v>
      </c>
      <c r="M86" s="544" t="s">
        <v>255</v>
      </c>
      <c r="N86" s="544" t="s">
        <v>964</v>
      </c>
      <c r="O86" s="544"/>
      <c r="P86" s="544"/>
    </row>
    <row r="87" spans="1:16" s="136" customFormat="1" ht="18.75" hidden="1" customHeight="1">
      <c r="A87" s="401"/>
      <c r="B87" s="401"/>
      <c r="C87" s="622"/>
      <c r="D87" s="454"/>
      <c r="E87" s="454"/>
      <c r="F87" s="404"/>
      <c r="G87" s="756" t="str">
        <f>C86</f>
        <v>6/0</v>
      </c>
      <c r="H87" s="456">
        <v>350.52</v>
      </c>
      <c r="I87" s="410"/>
      <c r="J87" s="407"/>
      <c r="K87" s="401"/>
      <c r="L87" s="401"/>
      <c r="M87" s="401"/>
      <c r="N87" s="401"/>
      <c r="O87" s="401"/>
      <c r="P87" s="401"/>
    </row>
    <row r="88" spans="1:16" s="136" customFormat="1" ht="18.75" customHeight="1">
      <c r="A88" s="401">
        <f>SUBTOTAL(103,$C$6:C88)</f>
        <v>42</v>
      </c>
      <c r="B88" s="401"/>
      <c r="C88" s="407" t="s">
        <v>259</v>
      </c>
      <c r="D88" s="623" t="s">
        <v>49</v>
      </c>
      <c r="E88" s="623"/>
      <c r="F88" s="409"/>
      <c r="G88" s="401"/>
      <c r="H88" s="458"/>
      <c r="I88" s="410">
        <f>ROUND(H87/1000,4)+I86</f>
        <v>16.174999999999997</v>
      </c>
      <c r="J88" s="405" t="s">
        <v>50</v>
      </c>
      <c r="K88" s="401" t="s">
        <v>255</v>
      </c>
      <c r="L88" s="401" t="s">
        <v>255</v>
      </c>
      <c r="M88" s="401" t="s">
        <v>255</v>
      </c>
      <c r="N88" s="401" t="s">
        <v>964</v>
      </c>
      <c r="O88" s="401"/>
      <c r="P88" s="401"/>
    </row>
    <row r="89" spans="1:16" s="136" customFormat="1" ht="18.75" hidden="1" customHeight="1">
      <c r="A89" s="401"/>
      <c r="B89" s="401"/>
      <c r="C89" s="622"/>
      <c r="D89" s="454"/>
      <c r="E89" s="454"/>
      <c r="F89" s="404"/>
      <c r="G89" s="756" t="str">
        <f>C88</f>
        <v>6/1</v>
      </c>
      <c r="H89" s="456">
        <v>445</v>
      </c>
      <c r="I89" s="410"/>
      <c r="J89" s="407"/>
      <c r="K89" s="401"/>
      <c r="L89" s="401"/>
      <c r="M89" s="401"/>
      <c r="N89" s="401"/>
      <c r="O89" s="401"/>
      <c r="P89" s="401"/>
    </row>
    <row r="90" spans="1:16" s="136" customFormat="1" ht="18.75" customHeight="1">
      <c r="A90" s="401">
        <f>SUBTOTAL(103,$C$6:C90)</f>
        <v>43</v>
      </c>
      <c r="B90" s="401"/>
      <c r="C90" s="407" t="s">
        <v>260</v>
      </c>
      <c r="D90" s="623" t="s">
        <v>79</v>
      </c>
      <c r="E90" s="623"/>
      <c r="F90" s="409"/>
      <c r="G90" s="401"/>
      <c r="H90" s="458"/>
      <c r="I90" s="410">
        <f>ROUND(H89/1000,4)+I88</f>
        <v>16.619999999999997</v>
      </c>
      <c r="J90" s="405" t="s">
        <v>50</v>
      </c>
      <c r="K90" s="401" t="s">
        <v>255</v>
      </c>
      <c r="L90" s="401" t="s">
        <v>255</v>
      </c>
      <c r="M90" s="401" t="s">
        <v>255</v>
      </c>
      <c r="N90" s="401" t="s">
        <v>964</v>
      </c>
      <c r="O90" s="401"/>
      <c r="P90" s="401"/>
    </row>
    <row r="91" spans="1:16" s="136" customFormat="1" ht="18.75" hidden="1" customHeight="1">
      <c r="A91" s="401"/>
      <c r="B91" s="401"/>
      <c r="C91" s="622"/>
      <c r="D91" s="454"/>
      <c r="E91" s="454"/>
      <c r="F91" s="404"/>
      <c r="G91" s="756" t="str">
        <f>C90</f>
        <v>6/2</v>
      </c>
      <c r="H91" s="456">
        <v>390</v>
      </c>
      <c r="I91" s="410"/>
      <c r="J91" s="407"/>
      <c r="K91" s="401"/>
      <c r="L91" s="401"/>
      <c r="M91" s="401"/>
      <c r="N91" s="401"/>
      <c r="O91" s="401"/>
      <c r="P91" s="401"/>
    </row>
    <row r="92" spans="1:16" s="136" customFormat="1" ht="18.75" customHeight="1">
      <c r="A92" s="401">
        <f>SUBTOTAL(103,$C$6:C92)</f>
        <v>44</v>
      </c>
      <c r="B92" s="401"/>
      <c r="C92" s="407" t="s">
        <v>469</v>
      </c>
      <c r="D92" s="623" t="s">
        <v>2</v>
      </c>
      <c r="E92" s="623"/>
      <c r="F92" s="409"/>
      <c r="G92" s="401"/>
      <c r="H92" s="458"/>
      <c r="I92" s="410">
        <f>ROUND(H91/1000,4)+I90</f>
        <v>17.009999999999998</v>
      </c>
      <c r="J92" s="405" t="s">
        <v>50</v>
      </c>
      <c r="K92" s="401" t="s">
        <v>255</v>
      </c>
      <c r="L92" s="401" t="s">
        <v>255</v>
      </c>
      <c r="M92" s="401" t="s">
        <v>255</v>
      </c>
      <c r="N92" s="401" t="s">
        <v>964</v>
      </c>
      <c r="O92" s="401"/>
      <c r="P92" s="401"/>
    </row>
    <row r="93" spans="1:16" s="136" customFormat="1" ht="18.75" hidden="1" customHeight="1">
      <c r="A93" s="401"/>
      <c r="B93" s="401"/>
      <c r="C93" s="622"/>
      <c r="D93" s="454"/>
      <c r="E93" s="454"/>
      <c r="F93" s="404"/>
      <c r="G93" s="756" t="str">
        <f>C92</f>
        <v>6/3</v>
      </c>
      <c r="H93" s="456">
        <v>350</v>
      </c>
      <c r="I93" s="410"/>
      <c r="J93" s="407"/>
      <c r="K93" s="401"/>
      <c r="L93" s="401"/>
      <c r="M93" s="401"/>
      <c r="N93" s="401"/>
      <c r="O93" s="401"/>
      <c r="P93" s="401"/>
    </row>
    <row r="94" spans="1:16" s="136" customFormat="1" ht="18.75" customHeight="1">
      <c r="A94" s="401">
        <f>SUBTOTAL(103,$C$6:C94)</f>
        <v>45</v>
      </c>
      <c r="B94" s="401"/>
      <c r="C94" s="407" t="s">
        <v>470</v>
      </c>
      <c r="D94" s="623" t="s">
        <v>49</v>
      </c>
      <c r="E94" s="623"/>
      <c r="F94" s="409"/>
      <c r="G94" s="401"/>
      <c r="H94" s="458"/>
      <c r="I94" s="410">
        <f>ROUND(H93/1000,4)+I92</f>
        <v>17.36</v>
      </c>
      <c r="J94" s="405" t="s">
        <v>50</v>
      </c>
      <c r="K94" s="401" t="s">
        <v>255</v>
      </c>
      <c r="L94" s="401" t="s">
        <v>255</v>
      </c>
      <c r="M94" s="401" t="s">
        <v>255</v>
      </c>
      <c r="N94" s="401" t="s">
        <v>964</v>
      </c>
      <c r="O94" s="401"/>
      <c r="P94" s="401"/>
    </row>
    <row r="95" spans="1:16" s="136" customFormat="1" ht="18.75" hidden="1" customHeight="1">
      <c r="A95" s="401"/>
      <c r="B95" s="401"/>
      <c r="C95" s="622"/>
      <c r="D95" s="454"/>
      <c r="E95" s="454"/>
      <c r="F95" s="404"/>
      <c r="G95" s="756" t="str">
        <f>C94</f>
        <v>6/4</v>
      </c>
      <c r="H95" s="456">
        <v>490</v>
      </c>
      <c r="I95" s="410"/>
      <c r="J95" s="407"/>
      <c r="K95" s="401"/>
      <c r="L95" s="401"/>
      <c r="M95" s="401"/>
      <c r="N95" s="401"/>
      <c r="O95" s="401"/>
      <c r="P95" s="401"/>
    </row>
    <row r="96" spans="1:16" s="136" customFormat="1" ht="18.75" customHeight="1">
      <c r="A96" s="401">
        <f>SUBTOTAL(103,$C$6:C96)</f>
        <v>46</v>
      </c>
      <c r="B96" s="401"/>
      <c r="C96" s="407" t="s">
        <v>471</v>
      </c>
      <c r="D96" s="623" t="s">
        <v>49</v>
      </c>
      <c r="E96" s="623"/>
      <c r="F96" s="409"/>
      <c r="G96" s="401"/>
      <c r="H96" s="458"/>
      <c r="I96" s="410">
        <f>ROUND(H95/1000,4)+I94</f>
        <v>17.849999999999998</v>
      </c>
      <c r="J96" s="405" t="s">
        <v>50</v>
      </c>
      <c r="K96" s="401" t="s">
        <v>255</v>
      </c>
      <c r="L96" s="401" t="s">
        <v>255</v>
      </c>
      <c r="M96" s="401" t="s">
        <v>255</v>
      </c>
      <c r="N96" s="401" t="s">
        <v>964</v>
      </c>
      <c r="O96" s="401"/>
      <c r="P96" s="401"/>
    </row>
    <row r="97" spans="1:16" s="136" customFormat="1" ht="18.75" hidden="1" customHeight="1">
      <c r="A97" s="401"/>
      <c r="B97" s="401"/>
      <c r="C97" s="622"/>
      <c r="D97" s="454"/>
      <c r="E97" s="454"/>
      <c r="F97" s="404"/>
      <c r="G97" s="756" t="str">
        <f>C96</f>
        <v>6/5</v>
      </c>
      <c r="H97" s="456">
        <v>350</v>
      </c>
      <c r="I97" s="410"/>
      <c r="J97" s="407"/>
      <c r="K97" s="401"/>
      <c r="L97" s="401"/>
      <c r="M97" s="401"/>
      <c r="N97" s="401"/>
      <c r="O97" s="401"/>
      <c r="P97" s="401"/>
    </row>
    <row r="98" spans="1:16" s="136" customFormat="1" ht="18.75" customHeight="1">
      <c r="A98" s="401">
        <f>SUBTOTAL(103,$C$6:C98)</f>
        <v>47</v>
      </c>
      <c r="B98" s="401"/>
      <c r="C98" s="407" t="s">
        <v>472</v>
      </c>
      <c r="D98" s="623" t="s">
        <v>4</v>
      </c>
      <c r="E98" s="623"/>
      <c r="F98" s="409"/>
      <c r="G98" s="401"/>
      <c r="H98" s="458"/>
      <c r="I98" s="410">
        <f>ROUND(H97/1000,4)+I96</f>
        <v>18.2</v>
      </c>
      <c r="J98" s="405" t="s">
        <v>50</v>
      </c>
      <c r="K98" s="401" t="s">
        <v>255</v>
      </c>
      <c r="L98" s="401" t="s">
        <v>255</v>
      </c>
      <c r="M98" s="401" t="s">
        <v>255</v>
      </c>
      <c r="N98" s="401" t="s">
        <v>964</v>
      </c>
      <c r="O98" s="401"/>
      <c r="P98" s="401"/>
    </row>
    <row r="99" spans="1:16" s="136" customFormat="1" ht="18.75" hidden="1" customHeight="1">
      <c r="A99" s="401"/>
      <c r="B99" s="401"/>
      <c r="C99" s="622"/>
      <c r="D99" s="454"/>
      <c r="E99" s="454"/>
      <c r="F99" s="404"/>
      <c r="G99" s="756" t="str">
        <f>C98</f>
        <v>6/6</v>
      </c>
      <c r="H99" s="456">
        <v>347</v>
      </c>
      <c r="I99" s="410"/>
      <c r="J99" s="407"/>
      <c r="K99" s="401"/>
      <c r="L99" s="401"/>
      <c r="M99" s="401"/>
      <c r="N99" s="401"/>
      <c r="O99" s="401"/>
      <c r="P99" s="401"/>
    </row>
    <row r="100" spans="1:16" s="136" customFormat="1" ht="18.75" customHeight="1">
      <c r="A100" s="401">
        <f>SUBTOTAL(103,$C$6:C100)</f>
        <v>48</v>
      </c>
      <c r="B100" s="401"/>
      <c r="C100" s="407" t="s">
        <v>473</v>
      </c>
      <c r="D100" s="623" t="s">
        <v>170</v>
      </c>
      <c r="E100" s="623"/>
      <c r="F100" s="409"/>
      <c r="G100" s="401"/>
      <c r="H100" s="458"/>
      <c r="I100" s="410">
        <f>ROUND(H99/1000,4)+I98</f>
        <v>18.547000000000001</v>
      </c>
      <c r="J100" s="405" t="s">
        <v>50</v>
      </c>
      <c r="K100" s="401" t="s">
        <v>255</v>
      </c>
      <c r="L100" s="401" t="s">
        <v>255</v>
      </c>
      <c r="M100" s="401" t="s">
        <v>255</v>
      </c>
      <c r="N100" s="401" t="s">
        <v>964</v>
      </c>
      <c r="O100" s="401"/>
      <c r="P100" s="401"/>
    </row>
    <row r="101" spans="1:16" s="136" customFormat="1" ht="18.75" hidden="1" customHeight="1">
      <c r="A101" s="401"/>
      <c r="B101" s="401"/>
      <c r="C101" s="622"/>
      <c r="D101" s="454"/>
      <c r="E101" s="454"/>
      <c r="F101" s="404"/>
      <c r="G101" s="756" t="str">
        <f>C100</f>
        <v>6/7</v>
      </c>
      <c r="H101" s="456">
        <v>373</v>
      </c>
      <c r="I101" s="410"/>
      <c r="J101" s="407"/>
      <c r="K101" s="401"/>
      <c r="L101" s="401"/>
      <c r="M101" s="401"/>
      <c r="N101" s="401"/>
      <c r="O101" s="401"/>
      <c r="P101" s="401"/>
    </row>
    <row r="102" spans="1:16" s="136" customFormat="1" ht="18.75" customHeight="1">
      <c r="A102" s="401">
        <f>SUBTOTAL(103,$C$6:C102)</f>
        <v>49</v>
      </c>
      <c r="B102" s="401"/>
      <c r="C102" s="407" t="s">
        <v>474</v>
      </c>
      <c r="D102" s="623" t="s">
        <v>2</v>
      </c>
      <c r="E102" s="623"/>
      <c r="F102" s="409"/>
      <c r="G102" s="401"/>
      <c r="H102" s="458"/>
      <c r="I102" s="410">
        <f>ROUND(H101/1000,4)+I100</f>
        <v>18.920000000000002</v>
      </c>
      <c r="J102" s="405" t="s">
        <v>50</v>
      </c>
      <c r="K102" s="401" t="s">
        <v>255</v>
      </c>
      <c r="L102" s="401" t="s">
        <v>255</v>
      </c>
      <c r="M102" s="401" t="s">
        <v>255</v>
      </c>
      <c r="N102" s="401" t="s">
        <v>964</v>
      </c>
      <c r="O102" s="401"/>
      <c r="P102" s="401"/>
    </row>
    <row r="103" spans="1:16" s="136" customFormat="1" ht="18.75" hidden="1" customHeight="1">
      <c r="A103" s="401"/>
      <c r="B103" s="401"/>
      <c r="C103" s="622"/>
      <c r="D103" s="454"/>
      <c r="E103" s="454"/>
      <c r="F103" s="404"/>
      <c r="G103" s="756" t="str">
        <f>C102</f>
        <v>6/8</v>
      </c>
      <c r="H103" s="456">
        <v>380</v>
      </c>
      <c r="I103" s="410"/>
      <c r="J103" s="407"/>
      <c r="K103" s="401"/>
      <c r="L103" s="401"/>
      <c r="M103" s="401"/>
      <c r="N103" s="401"/>
      <c r="O103" s="401"/>
      <c r="P103" s="401"/>
    </row>
    <row r="104" spans="1:16" s="136" customFormat="1" ht="18.75" customHeight="1">
      <c r="A104" s="401">
        <f>SUBTOTAL(103,$C$6:C104)</f>
        <v>50</v>
      </c>
      <c r="B104" s="401"/>
      <c r="C104" s="407" t="s">
        <v>475</v>
      </c>
      <c r="D104" s="623" t="s">
        <v>79</v>
      </c>
      <c r="E104" s="623"/>
      <c r="F104" s="409"/>
      <c r="G104" s="401"/>
      <c r="H104" s="458"/>
      <c r="I104" s="410">
        <f>ROUND(H103/1000,4)+I102</f>
        <v>19.3</v>
      </c>
      <c r="J104" s="405" t="s">
        <v>50</v>
      </c>
      <c r="K104" s="401" t="s">
        <v>255</v>
      </c>
      <c r="L104" s="401" t="s">
        <v>255</v>
      </c>
      <c r="M104" s="401" t="s">
        <v>255</v>
      </c>
      <c r="N104" s="401" t="s">
        <v>964</v>
      </c>
      <c r="O104" s="401"/>
      <c r="P104" s="401"/>
    </row>
    <row r="105" spans="1:16" s="136" customFormat="1" ht="18.75" hidden="1" customHeight="1">
      <c r="A105" s="401"/>
      <c r="B105" s="401"/>
      <c r="C105" s="622"/>
      <c r="D105" s="454"/>
      <c r="E105" s="454"/>
      <c r="F105" s="404"/>
      <c r="G105" s="756" t="str">
        <f>C104</f>
        <v>6/9</v>
      </c>
      <c r="H105" s="456">
        <v>335</v>
      </c>
      <c r="I105" s="410"/>
      <c r="J105" s="407"/>
      <c r="K105" s="401"/>
      <c r="L105" s="401"/>
      <c r="M105" s="401"/>
      <c r="N105" s="401"/>
      <c r="O105" s="401"/>
      <c r="P105" s="401"/>
    </row>
    <row r="106" spans="1:16" s="136" customFormat="1" ht="18.75" customHeight="1">
      <c r="A106" s="401">
        <f>SUBTOTAL(103,$C$6:C106)</f>
        <v>51</v>
      </c>
      <c r="B106" s="401"/>
      <c r="C106" s="407" t="s">
        <v>476</v>
      </c>
      <c r="D106" s="623" t="s">
        <v>170</v>
      </c>
      <c r="E106" s="623"/>
      <c r="F106" s="409"/>
      <c r="G106" s="401"/>
      <c r="H106" s="458"/>
      <c r="I106" s="410">
        <f>ROUND(H105/1000,4)+I104</f>
        <v>19.635000000000002</v>
      </c>
      <c r="J106" s="405" t="s">
        <v>50</v>
      </c>
      <c r="K106" s="401" t="s">
        <v>255</v>
      </c>
      <c r="L106" s="401" t="s">
        <v>255</v>
      </c>
      <c r="M106" s="401" t="s">
        <v>255</v>
      </c>
      <c r="N106" s="401" t="s">
        <v>964</v>
      </c>
      <c r="O106" s="401"/>
      <c r="P106" s="401"/>
    </row>
    <row r="107" spans="1:16" s="136" customFormat="1" ht="18.75" hidden="1" customHeight="1">
      <c r="A107" s="401"/>
      <c r="B107" s="401"/>
      <c r="C107" s="622"/>
      <c r="D107" s="454"/>
      <c r="E107" s="454"/>
      <c r="F107" s="404"/>
      <c r="G107" s="756" t="str">
        <f>C106</f>
        <v>6/10</v>
      </c>
      <c r="H107" s="456">
        <v>315</v>
      </c>
      <c r="I107" s="410"/>
      <c r="J107" s="407"/>
      <c r="K107" s="401"/>
      <c r="L107" s="401"/>
      <c r="M107" s="401"/>
      <c r="N107" s="401"/>
      <c r="O107" s="401"/>
      <c r="P107" s="401"/>
    </row>
    <row r="108" spans="1:16" s="136" customFormat="1" ht="18.75" customHeight="1">
      <c r="A108" s="401">
        <f>SUBTOTAL(103,$C$6:C108)</f>
        <v>52</v>
      </c>
      <c r="B108" s="401"/>
      <c r="C108" s="407" t="s">
        <v>477</v>
      </c>
      <c r="D108" s="623" t="s">
        <v>154</v>
      </c>
      <c r="E108" s="623"/>
      <c r="F108" s="409"/>
      <c r="G108" s="401"/>
      <c r="H108" s="458"/>
      <c r="I108" s="410">
        <f>ROUND(H107/1000,4)+I106</f>
        <v>19.950000000000003</v>
      </c>
      <c r="J108" s="405" t="s">
        <v>50</v>
      </c>
      <c r="K108" s="401" t="s">
        <v>255</v>
      </c>
      <c r="L108" s="401" t="s">
        <v>255</v>
      </c>
      <c r="M108" s="401" t="s">
        <v>255</v>
      </c>
      <c r="N108" s="401" t="s">
        <v>964</v>
      </c>
      <c r="O108" s="401"/>
      <c r="P108" s="401"/>
    </row>
    <row r="109" spans="1:16" s="136" customFormat="1" ht="18.75" hidden="1" customHeight="1">
      <c r="A109" s="401"/>
      <c r="B109" s="401"/>
      <c r="C109" s="622"/>
      <c r="D109" s="454"/>
      <c r="E109" s="454"/>
      <c r="F109" s="404"/>
      <c r="G109" s="756" t="str">
        <f>C108</f>
        <v>6/11</v>
      </c>
      <c r="H109" s="456">
        <v>410</v>
      </c>
      <c r="I109" s="410"/>
      <c r="J109" s="407"/>
      <c r="K109" s="401"/>
      <c r="L109" s="401"/>
      <c r="M109" s="401"/>
      <c r="N109" s="401"/>
      <c r="O109" s="401"/>
      <c r="P109" s="401"/>
    </row>
    <row r="110" spans="1:16" s="136" customFormat="1" ht="18.75" customHeight="1">
      <c r="A110" s="401">
        <f>SUBTOTAL(103,$C$6:C110)</f>
        <v>53</v>
      </c>
      <c r="B110" s="401"/>
      <c r="C110" s="407" t="s">
        <v>492</v>
      </c>
      <c r="D110" s="623" t="s">
        <v>170</v>
      </c>
      <c r="E110" s="623"/>
      <c r="F110" s="409"/>
      <c r="G110" s="401"/>
      <c r="H110" s="458"/>
      <c r="I110" s="410">
        <f>ROUND(H109/1000,4)+I108</f>
        <v>20.360000000000003</v>
      </c>
      <c r="J110" s="405" t="s">
        <v>50</v>
      </c>
      <c r="K110" s="401" t="s">
        <v>255</v>
      </c>
      <c r="L110" s="401" t="s">
        <v>255</v>
      </c>
      <c r="M110" s="401" t="s">
        <v>255</v>
      </c>
      <c r="N110" s="401" t="s">
        <v>964</v>
      </c>
      <c r="O110" s="401"/>
      <c r="P110" s="401"/>
    </row>
    <row r="111" spans="1:16" s="136" customFormat="1" ht="18.75" hidden="1" customHeight="1">
      <c r="A111" s="401"/>
      <c r="B111" s="401"/>
      <c r="C111" s="622"/>
      <c r="D111" s="454"/>
      <c r="E111" s="454"/>
      <c r="F111" s="404"/>
      <c r="G111" s="756" t="str">
        <f>C110</f>
        <v>6/12</v>
      </c>
      <c r="H111" s="456">
        <v>365.71600000000001</v>
      </c>
      <c r="I111" s="410"/>
      <c r="J111" s="407"/>
      <c r="K111" s="401"/>
      <c r="L111" s="401"/>
      <c r="M111" s="401"/>
      <c r="N111" s="401"/>
      <c r="O111" s="401"/>
      <c r="P111" s="401"/>
    </row>
    <row r="112" spans="1:16" s="136" customFormat="1" ht="18.75" customHeight="1">
      <c r="A112" s="401">
        <f>SUBTOTAL(103,$C$6:C112)</f>
        <v>54</v>
      </c>
      <c r="B112" s="402" t="s">
        <v>542</v>
      </c>
      <c r="C112" s="407" t="s">
        <v>261</v>
      </c>
      <c r="D112" s="623" t="s">
        <v>184</v>
      </c>
      <c r="E112" s="623"/>
      <c r="F112" s="404"/>
      <c r="G112" s="403"/>
      <c r="H112" s="459"/>
      <c r="I112" s="410">
        <f>ROUND(H111/1000,4)+I110</f>
        <v>20.725700000000003</v>
      </c>
      <c r="J112" s="405" t="s">
        <v>50</v>
      </c>
      <c r="K112" s="401" t="s">
        <v>255</v>
      </c>
      <c r="L112" s="401" t="s">
        <v>255</v>
      </c>
      <c r="M112" s="401" t="s">
        <v>255</v>
      </c>
      <c r="N112" s="401" t="s">
        <v>964</v>
      </c>
      <c r="O112" s="401" t="s">
        <v>964</v>
      </c>
      <c r="P112" s="401"/>
    </row>
    <row r="113" spans="1:16" s="136" customFormat="1" ht="18.75" hidden="1" customHeight="1">
      <c r="A113" s="401"/>
      <c r="B113" s="401"/>
      <c r="C113" s="622"/>
      <c r="D113" s="454"/>
      <c r="E113" s="454"/>
      <c r="F113" s="404"/>
      <c r="G113" s="756" t="str">
        <f>C112</f>
        <v>7/0</v>
      </c>
      <c r="H113" s="457">
        <v>319.28399999999999</v>
      </c>
      <c r="I113" s="410"/>
      <c r="J113" s="407"/>
      <c r="K113" s="401"/>
      <c r="L113" s="401"/>
      <c r="M113" s="401"/>
      <c r="N113" s="401"/>
      <c r="O113" s="401"/>
      <c r="P113" s="401"/>
    </row>
    <row r="114" spans="1:16" s="136" customFormat="1" ht="18.75" customHeight="1">
      <c r="A114" s="401">
        <f>SUBTOTAL(103,$C$6:C114)</f>
        <v>55</v>
      </c>
      <c r="B114" s="401"/>
      <c r="C114" s="407" t="s">
        <v>478</v>
      </c>
      <c r="D114" s="623" t="s">
        <v>4</v>
      </c>
      <c r="E114" s="623"/>
      <c r="F114" s="409"/>
      <c r="G114" s="401"/>
      <c r="H114" s="459"/>
      <c r="I114" s="410">
        <f>ROUND(H113/1000,4)+I112</f>
        <v>21.045000000000002</v>
      </c>
      <c r="J114" s="405" t="s">
        <v>50</v>
      </c>
      <c r="K114" s="401" t="s">
        <v>255</v>
      </c>
      <c r="L114" s="401" t="s">
        <v>255</v>
      </c>
      <c r="M114" s="401" t="s">
        <v>255</v>
      </c>
      <c r="N114" s="401" t="str">
        <f>VLOOKUP(C114,'Tack Welding'!$D$5:$J$94,7,0)</f>
        <v xml:space="preserve">Completed </v>
      </c>
      <c r="O114" s="401"/>
      <c r="P114" s="401"/>
    </row>
    <row r="115" spans="1:16" s="136" customFormat="1" ht="18.75" hidden="1" customHeight="1">
      <c r="A115" s="401"/>
      <c r="B115" s="401"/>
      <c r="C115" s="622"/>
      <c r="D115" s="454"/>
      <c r="E115" s="454"/>
      <c r="F115" s="404"/>
      <c r="G115" s="756" t="str">
        <f>C114</f>
        <v>7/1</v>
      </c>
      <c r="H115" s="457">
        <v>465</v>
      </c>
      <c r="I115" s="410"/>
      <c r="J115" s="407"/>
      <c r="K115" s="401"/>
      <c r="L115" s="401"/>
      <c r="M115" s="401"/>
      <c r="N115" s="401"/>
      <c r="O115" s="401"/>
      <c r="P115" s="401"/>
    </row>
    <row r="116" spans="1:16" s="136" customFormat="1" ht="18.75" customHeight="1">
      <c r="A116" s="401">
        <f>SUBTOTAL(103,$C$6:C116)</f>
        <v>56</v>
      </c>
      <c r="B116" s="401"/>
      <c r="C116" s="407" t="s">
        <v>479</v>
      </c>
      <c r="D116" s="623" t="s">
        <v>79</v>
      </c>
      <c r="E116" s="623"/>
      <c r="F116" s="409"/>
      <c r="G116" s="401"/>
      <c r="H116" s="459"/>
      <c r="I116" s="410">
        <f>ROUND(H115/1000,4)+I114</f>
        <v>21.51</v>
      </c>
      <c r="J116" s="405" t="s">
        <v>50</v>
      </c>
      <c r="K116" s="401" t="s">
        <v>255</v>
      </c>
      <c r="L116" s="401" t="s">
        <v>255</v>
      </c>
      <c r="M116" s="401" t="s">
        <v>255</v>
      </c>
      <c r="N116" s="401" t="str">
        <f>VLOOKUP(C116,'Tack Welding'!$D$5:$J$94,7,0)</f>
        <v xml:space="preserve">Completed </v>
      </c>
      <c r="O116" s="401"/>
      <c r="P116" s="401"/>
    </row>
    <row r="117" spans="1:16" s="136" customFormat="1" ht="18.75" hidden="1" customHeight="1">
      <c r="A117" s="401"/>
      <c r="B117" s="401"/>
      <c r="C117" s="622"/>
      <c r="D117" s="454"/>
      <c r="E117" s="454"/>
      <c r="F117" s="404"/>
      <c r="G117" s="756" t="str">
        <f>C116</f>
        <v>7/2</v>
      </c>
      <c r="H117" s="457">
        <v>375</v>
      </c>
      <c r="I117" s="410"/>
      <c r="J117" s="407"/>
      <c r="K117" s="401"/>
      <c r="L117" s="401"/>
      <c r="M117" s="401"/>
      <c r="N117" s="401"/>
      <c r="O117" s="401"/>
      <c r="P117" s="401"/>
    </row>
    <row r="118" spans="1:16" s="136" customFormat="1" ht="18.75" customHeight="1">
      <c r="A118" s="401">
        <f>SUBTOTAL(103,$C$6:C118)</f>
        <v>57</v>
      </c>
      <c r="B118" s="401"/>
      <c r="C118" s="407" t="s">
        <v>480</v>
      </c>
      <c r="D118" s="623" t="s">
        <v>49</v>
      </c>
      <c r="E118" s="623"/>
      <c r="F118" s="409"/>
      <c r="G118" s="401"/>
      <c r="H118" s="459"/>
      <c r="I118" s="410">
        <f>ROUND(H117/1000,4)+I116</f>
        <v>21.885000000000002</v>
      </c>
      <c r="J118" s="405" t="s">
        <v>50</v>
      </c>
      <c r="K118" s="401" t="s">
        <v>255</v>
      </c>
      <c r="L118" s="401" t="s">
        <v>255</v>
      </c>
      <c r="M118" s="401" t="s">
        <v>255</v>
      </c>
      <c r="N118" s="401" t="s">
        <v>964</v>
      </c>
      <c r="O118" s="401"/>
      <c r="P118" s="401"/>
    </row>
    <row r="119" spans="1:16" s="136" customFormat="1" ht="18.75" hidden="1" customHeight="1">
      <c r="A119" s="401"/>
      <c r="B119" s="401"/>
      <c r="C119" s="622"/>
      <c r="D119" s="454"/>
      <c r="E119" s="454"/>
      <c r="F119" s="404"/>
      <c r="G119" s="756" t="str">
        <f>C118</f>
        <v>7/3</v>
      </c>
      <c r="H119" s="457">
        <v>355</v>
      </c>
      <c r="I119" s="410"/>
      <c r="J119" s="407"/>
      <c r="K119" s="401"/>
      <c r="L119" s="401"/>
      <c r="M119" s="401"/>
      <c r="N119" s="401"/>
      <c r="O119" s="401"/>
      <c r="P119" s="401"/>
    </row>
    <row r="120" spans="1:16" s="136" customFormat="1" ht="18.75" customHeight="1">
      <c r="A120" s="401">
        <f>SUBTOTAL(103,$C$6:C120)</f>
        <v>58</v>
      </c>
      <c r="B120" s="401"/>
      <c r="C120" s="407" t="s">
        <v>481</v>
      </c>
      <c r="D120" s="623" t="s">
        <v>79</v>
      </c>
      <c r="E120" s="623"/>
      <c r="F120" s="409"/>
      <c r="G120" s="401"/>
      <c r="H120" s="459"/>
      <c r="I120" s="410">
        <f>ROUND(H119/1000,4)+I118</f>
        <v>22.240000000000002</v>
      </c>
      <c r="J120" s="405" t="s">
        <v>50</v>
      </c>
      <c r="K120" s="401" t="s">
        <v>255</v>
      </c>
      <c r="L120" s="401" t="s">
        <v>255</v>
      </c>
      <c r="M120" s="401" t="s">
        <v>255</v>
      </c>
      <c r="N120" s="401"/>
      <c r="O120" s="401"/>
      <c r="P120" s="401"/>
    </row>
    <row r="121" spans="1:16" s="136" customFormat="1" ht="18.75" hidden="1" customHeight="1">
      <c r="A121" s="401"/>
      <c r="B121" s="401"/>
      <c r="C121" s="622"/>
      <c r="D121" s="454"/>
      <c r="E121" s="454"/>
      <c r="F121" s="404"/>
      <c r="G121" s="756" t="str">
        <f>C120</f>
        <v>7/4</v>
      </c>
      <c r="H121" s="457">
        <v>420</v>
      </c>
      <c r="I121" s="410"/>
      <c r="J121" s="407"/>
      <c r="K121" s="401"/>
      <c r="L121" s="401"/>
      <c r="M121" s="401"/>
      <c r="N121" s="401"/>
      <c r="O121" s="401"/>
      <c r="P121" s="401"/>
    </row>
    <row r="122" spans="1:16" s="136" customFormat="1" ht="18.75" customHeight="1">
      <c r="A122" s="401">
        <f>SUBTOTAL(103,$C$6:C122)</f>
        <v>59</v>
      </c>
      <c r="B122" s="401"/>
      <c r="C122" s="407" t="s">
        <v>482</v>
      </c>
      <c r="D122" s="623" t="s">
        <v>79</v>
      </c>
      <c r="E122" s="623"/>
      <c r="F122" s="409"/>
      <c r="G122" s="401"/>
      <c r="H122" s="459"/>
      <c r="I122" s="410">
        <f>ROUND(H121/1000,4)+I120</f>
        <v>22.660000000000004</v>
      </c>
      <c r="J122" s="405" t="s">
        <v>50</v>
      </c>
      <c r="K122" s="401" t="s">
        <v>255</v>
      </c>
      <c r="L122" s="401" t="s">
        <v>255</v>
      </c>
      <c r="M122" s="401" t="s">
        <v>255</v>
      </c>
      <c r="N122" s="401" t="str">
        <f>VLOOKUP(C122,'Tack Welding'!$D$5:$J$94,7,0)</f>
        <v xml:space="preserve">Completed </v>
      </c>
      <c r="O122" s="401"/>
      <c r="P122" s="401"/>
    </row>
    <row r="123" spans="1:16" s="136" customFormat="1" ht="18.75" hidden="1" customHeight="1">
      <c r="A123" s="401"/>
      <c r="B123" s="401"/>
      <c r="C123" s="622"/>
      <c r="D123" s="454"/>
      <c r="E123" s="454"/>
      <c r="F123" s="404"/>
      <c r="G123" s="756" t="str">
        <f>C122</f>
        <v>7/5</v>
      </c>
      <c r="H123" s="457">
        <v>315</v>
      </c>
      <c r="I123" s="410"/>
      <c r="J123" s="407"/>
      <c r="K123" s="401"/>
      <c r="L123" s="401"/>
      <c r="M123" s="401"/>
      <c r="N123" s="401"/>
      <c r="O123" s="401"/>
      <c r="P123" s="401"/>
    </row>
    <row r="124" spans="1:16" s="136" customFormat="1" ht="18.75" customHeight="1">
      <c r="A124" s="401">
        <f>SUBTOTAL(103,$C$6:C124)</f>
        <v>60</v>
      </c>
      <c r="B124" s="401"/>
      <c r="C124" s="407" t="s">
        <v>483</v>
      </c>
      <c r="D124" s="623" t="s">
        <v>154</v>
      </c>
      <c r="E124" s="623"/>
      <c r="F124" s="409"/>
      <c r="G124" s="401"/>
      <c r="H124" s="459"/>
      <c r="I124" s="410">
        <f>ROUND(H123/1000,4)+I122</f>
        <v>22.975000000000005</v>
      </c>
      <c r="J124" s="405" t="s">
        <v>50</v>
      </c>
      <c r="K124" s="401" t="s">
        <v>255</v>
      </c>
      <c r="L124" s="401" t="s">
        <v>255</v>
      </c>
      <c r="M124" s="401" t="s">
        <v>255</v>
      </c>
      <c r="N124" s="401" t="str">
        <f>VLOOKUP(C124,'Tack Welding'!$D$5:$J$94,7,0)</f>
        <v xml:space="preserve">Completed </v>
      </c>
      <c r="O124" s="401"/>
      <c r="P124" s="401"/>
    </row>
    <row r="125" spans="1:16" s="136" customFormat="1" ht="18.75" hidden="1" customHeight="1">
      <c r="A125" s="401"/>
      <c r="B125" s="401"/>
      <c r="C125" s="622"/>
      <c r="D125" s="454"/>
      <c r="E125" s="454"/>
      <c r="F125" s="404"/>
      <c r="G125" s="756" t="str">
        <f>C124</f>
        <v>7/6</v>
      </c>
      <c r="H125" s="457">
        <v>450</v>
      </c>
      <c r="I125" s="410"/>
      <c r="J125" s="407"/>
      <c r="K125" s="401"/>
      <c r="L125" s="401"/>
      <c r="M125" s="401"/>
      <c r="N125" s="401"/>
      <c r="O125" s="401"/>
      <c r="P125" s="401"/>
    </row>
    <row r="126" spans="1:16" s="136" customFormat="1" ht="18.75" customHeight="1">
      <c r="A126" s="401">
        <f>SUBTOTAL(103,$C$6:C126)</f>
        <v>61</v>
      </c>
      <c r="B126" s="402" t="s">
        <v>543</v>
      </c>
      <c r="C126" s="407" t="s">
        <v>493</v>
      </c>
      <c r="D126" s="623" t="s">
        <v>227</v>
      </c>
      <c r="E126" s="623"/>
      <c r="F126" s="404"/>
      <c r="G126" s="403"/>
      <c r="H126" s="459"/>
      <c r="I126" s="410">
        <f>ROUND(H125/1000,4)+I124</f>
        <v>23.425000000000004</v>
      </c>
      <c r="J126" s="405" t="s">
        <v>50</v>
      </c>
      <c r="K126" s="401" t="s">
        <v>255</v>
      </c>
      <c r="L126" s="401" t="s">
        <v>255</v>
      </c>
      <c r="M126" s="401" t="s">
        <v>255</v>
      </c>
      <c r="N126" s="401" t="str">
        <f>VLOOKUP(C126,'Tack Welding'!$D$5:$J$94,7,0)</f>
        <v xml:space="preserve">Completed </v>
      </c>
      <c r="O126" s="401"/>
      <c r="P126" s="401"/>
    </row>
    <row r="127" spans="1:16" s="136" customFormat="1" ht="18.75" hidden="1" customHeight="1">
      <c r="A127" s="401"/>
      <c r="B127" s="401"/>
      <c r="C127" s="622"/>
      <c r="D127" s="454"/>
      <c r="E127" s="454"/>
      <c r="F127" s="404"/>
      <c r="G127" s="756" t="str">
        <f>C126</f>
        <v>7A/0</v>
      </c>
      <c r="H127" s="457">
        <v>435</v>
      </c>
      <c r="I127" s="410"/>
      <c r="J127" s="407"/>
      <c r="K127" s="401"/>
      <c r="L127" s="401"/>
      <c r="M127" s="401"/>
      <c r="N127" s="401"/>
      <c r="O127" s="401"/>
      <c r="P127" s="401"/>
    </row>
    <row r="128" spans="1:16" s="136" customFormat="1" ht="18.75" customHeight="1">
      <c r="A128" s="401">
        <f>SUBTOTAL(103,$C$6:C128)</f>
        <v>62</v>
      </c>
      <c r="B128" s="401"/>
      <c r="C128" s="407" t="s">
        <v>494</v>
      </c>
      <c r="D128" s="623" t="s">
        <v>170</v>
      </c>
      <c r="E128" s="623"/>
      <c r="F128" s="409"/>
      <c r="G128" s="401"/>
      <c r="H128" s="459"/>
      <c r="I128" s="410">
        <f>ROUND(H127/1000,4)+I126</f>
        <v>23.860000000000003</v>
      </c>
      <c r="J128" s="405" t="s">
        <v>50</v>
      </c>
      <c r="K128" s="401" t="s">
        <v>255</v>
      </c>
      <c r="L128" s="401" t="s">
        <v>255</v>
      </c>
      <c r="M128" s="401" t="s">
        <v>255</v>
      </c>
      <c r="N128" s="401" t="s">
        <v>964</v>
      </c>
      <c r="O128" s="401"/>
      <c r="P128" s="401"/>
    </row>
    <row r="129" spans="1:16" s="136" customFormat="1" ht="18.75" hidden="1" customHeight="1">
      <c r="A129" s="401"/>
      <c r="B129" s="401"/>
      <c r="C129" s="622"/>
      <c r="D129" s="454"/>
      <c r="E129" s="454"/>
      <c r="F129" s="404"/>
      <c r="G129" s="756" t="str">
        <f>C128</f>
        <v>7A/1</v>
      </c>
      <c r="H129" s="457">
        <v>385</v>
      </c>
      <c r="I129" s="410"/>
      <c r="J129" s="407"/>
      <c r="K129" s="401"/>
      <c r="L129" s="401"/>
      <c r="M129" s="401"/>
      <c r="N129" s="401"/>
      <c r="O129" s="401"/>
      <c r="P129" s="401"/>
    </row>
    <row r="130" spans="1:16" s="136" customFormat="1" ht="18.75" customHeight="1">
      <c r="A130" s="401">
        <f>SUBTOTAL(103,$C$6:C130)</f>
        <v>63</v>
      </c>
      <c r="B130" s="401"/>
      <c r="C130" s="407" t="s">
        <v>495</v>
      </c>
      <c r="D130" s="623" t="s">
        <v>2</v>
      </c>
      <c r="E130" s="623"/>
      <c r="F130" s="409"/>
      <c r="G130" s="401"/>
      <c r="H130" s="459"/>
      <c r="I130" s="410">
        <f>ROUND(H129/1000,4)+I128</f>
        <v>24.245000000000005</v>
      </c>
      <c r="J130" s="405" t="s">
        <v>50</v>
      </c>
      <c r="K130" s="401" t="s">
        <v>255</v>
      </c>
      <c r="L130" s="401" t="s">
        <v>255</v>
      </c>
      <c r="M130" s="401" t="s">
        <v>255</v>
      </c>
      <c r="N130" s="401" t="str">
        <f>VLOOKUP(C130,'Tack Welding'!$D$5:$J$94,7,0)</f>
        <v xml:space="preserve">Completed </v>
      </c>
      <c r="O130" s="401"/>
      <c r="P130" s="401"/>
    </row>
    <row r="131" spans="1:16" s="136" customFormat="1" ht="18.75" hidden="1" customHeight="1">
      <c r="A131" s="401"/>
      <c r="B131" s="401"/>
      <c r="C131" s="622"/>
      <c r="D131" s="454"/>
      <c r="E131" s="454"/>
      <c r="F131" s="404"/>
      <c r="G131" s="756" t="str">
        <f>C130</f>
        <v>7A/2</v>
      </c>
      <c r="H131" s="457">
        <v>390</v>
      </c>
      <c r="I131" s="410"/>
      <c r="J131" s="407"/>
      <c r="K131" s="401"/>
      <c r="L131" s="401"/>
      <c r="M131" s="401"/>
      <c r="N131" s="401"/>
      <c r="O131" s="401"/>
      <c r="P131" s="401"/>
    </row>
    <row r="132" spans="1:16" s="136" customFormat="1" ht="18.75" customHeight="1">
      <c r="A132" s="401">
        <f>SUBTOTAL(103,$C$6:C132)</f>
        <v>64</v>
      </c>
      <c r="B132" s="401"/>
      <c r="C132" s="407" t="s">
        <v>496</v>
      </c>
      <c r="D132" s="623" t="s">
        <v>2</v>
      </c>
      <c r="E132" s="623"/>
      <c r="F132" s="409"/>
      <c r="G132" s="401"/>
      <c r="H132" s="459"/>
      <c r="I132" s="410">
        <f>ROUND(H131/1000,4)+I130</f>
        <v>24.635000000000005</v>
      </c>
      <c r="J132" s="405" t="s">
        <v>50</v>
      </c>
      <c r="K132" s="401" t="s">
        <v>255</v>
      </c>
      <c r="L132" s="401" t="s">
        <v>255</v>
      </c>
      <c r="M132" s="401" t="s">
        <v>255</v>
      </c>
      <c r="N132" s="401" t="str">
        <f>VLOOKUP(C132,'Tack Welding'!$D$5:$J$94,7,0)</f>
        <v xml:space="preserve">Completed </v>
      </c>
      <c r="O132" s="401"/>
      <c r="P132" s="401"/>
    </row>
    <row r="133" spans="1:16" s="136" customFormat="1" ht="18.75" hidden="1" customHeight="1">
      <c r="A133" s="401"/>
      <c r="B133" s="401"/>
      <c r="C133" s="622"/>
      <c r="D133" s="454"/>
      <c r="E133" s="454"/>
      <c r="F133" s="404"/>
      <c r="G133" s="756" t="str">
        <f>C132</f>
        <v>7A/3</v>
      </c>
      <c r="H133" s="457">
        <v>405</v>
      </c>
      <c r="I133" s="410"/>
      <c r="J133" s="407"/>
      <c r="K133" s="401"/>
      <c r="L133" s="401"/>
      <c r="M133" s="401"/>
      <c r="N133" s="401"/>
      <c r="O133" s="401"/>
      <c r="P133" s="401"/>
    </row>
    <row r="134" spans="1:16" s="136" customFormat="1" ht="18.75" customHeight="1">
      <c r="A134" s="401">
        <f>SUBTOTAL(103,$C$6:C134)</f>
        <v>65</v>
      </c>
      <c r="B134" s="401"/>
      <c r="C134" s="407" t="s">
        <v>497</v>
      </c>
      <c r="D134" s="623" t="s">
        <v>2</v>
      </c>
      <c r="E134" s="623"/>
      <c r="F134" s="409"/>
      <c r="G134" s="401"/>
      <c r="H134" s="459"/>
      <c r="I134" s="410">
        <f>ROUND(H133/1000,4)+I132</f>
        <v>25.040000000000006</v>
      </c>
      <c r="J134" s="405" t="s">
        <v>50</v>
      </c>
      <c r="K134" s="401" t="s">
        <v>255</v>
      </c>
      <c r="L134" s="401" t="s">
        <v>255</v>
      </c>
      <c r="M134" s="401" t="s">
        <v>255</v>
      </c>
      <c r="N134" s="401" t="str">
        <f>VLOOKUP(C134,'Tack Welding'!$D$5:$J$94,7,0)</f>
        <v xml:space="preserve">Completed </v>
      </c>
      <c r="O134" s="401" t="s">
        <v>964</v>
      </c>
      <c r="P134" s="401"/>
    </row>
    <row r="135" spans="1:16" s="136" customFormat="1" ht="18.75" hidden="1" customHeight="1">
      <c r="A135" s="401"/>
      <c r="B135" s="401"/>
      <c r="C135" s="622"/>
      <c r="D135" s="454"/>
      <c r="E135" s="454"/>
      <c r="F135" s="404"/>
      <c r="G135" s="756" t="str">
        <f>C134</f>
        <v>7A/4</v>
      </c>
      <c r="H135" s="457">
        <v>390</v>
      </c>
      <c r="I135" s="410"/>
      <c r="J135" s="407"/>
      <c r="K135" s="401"/>
      <c r="L135" s="401"/>
      <c r="M135" s="401"/>
      <c r="N135" s="401"/>
      <c r="O135" s="401"/>
      <c r="P135" s="401"/>
    </row>
    <row r="136" spans="1:16" s="136" customFormat="1" ht="18.75" customHeight="1">
      <c r="A136" s="401">
        <f>SUBTOTAL(103,$C$6:C136)</f>
        <v>66</v>
      </c>
      <c r="B136" s="401"/>
      <c r="C136" s="407" t="s">
        <v>498</v>
      </c>
      <c r="D136" s="623" t="s">
        <v>2</v>
      </c>
      <c r="E136" s="623"/>
      <c r="F136" s="409"/>
      <c r="G136" s="401"/>
      <c r="H136" s="459"/>
      <c r="I136" s="410">
        <f>ROUND(H135/1000,4)+I134</f>
        <v>25.430000000000007</v>
      </c>
      <c r="J136" s="405" t="s">
        <v>50</v>
      </c>
      <c r="K136" s="401" t="s">
        <v>255</v>
      </c>
      <c r="L136" s="401" t="s">
        <v>255</v>
      </c>
      <c r="M136" s="401" t="s">
        <v>255</v>
      </c>
      <c r="N136" s="401" t="str">
        <f>VLOOKUP(C136,'Tack Welding'!$D$5:$J$94,7,0)</f>
        <v xml:space="preserve">Completed </v>
      </c>
      <c r="O136" s="401"/>
      <c r="P136" s="401"/>
    </row>
    <row r="137" spans="1:16" s="136" customFormat="1" ht="18.75" hidden="1" customHeight="1">
      <c r="A137" s="401"/>
      <c r="B137" s="401"/>
      <c r="C137" s="622"/>
      <c r="D137" s="454"/>
      <c r="E137" s="454"/>
      <c r="F137" s="404"/>
      <c r="G137" s="756" t="str">
        <f>C136</f>
        <v>7A/5</v>
      </c>
      <c r="H137" s="457">
        <v>429.77</v>
      </c>
      <c r="I137" s="410"/>
      <c r="J137" s="407"/>
      <c r="K137" s="401"/>
      <c r="L137" s="401"/>
      <c r="M137" s="401"/>
      <c r="N137" s="401"/>
      <c r="O137" s="401"/>
      <c r="P137" s="401"/>
    </row>
    <row r="138" spans="1:16" s="136" customFormat="1" ht="18.75" customHeight="1">
      <c r="A138" s="401">
        <f>SUBTOTAL(103,$C$6:C138)</f>
        <v>67</v>
      </c>
      <c r="B138" s="402" t="s">
        <v>544</v>
      </c>
      <c r="C138" s="747" t="s">
        <v>262</v>
      </c>
      <c r="D138" s="623" t="s">
        <v>197</v>
      </c>
      <c r="E138" s="623"/>
      <c r="F138" s="404"/>
      <c r="G138" s="403"/>
      <c r="H138" s="459"/>
      <c r="I138" s="410">
        <f>ROUND(H137/1000,4)+I136</f>
        <v>25.859800000000007</v>
      </c>
      <c r="J138" s="405" t="s">
        <v>50</v>
      </c>
      <c r="K138" s="401" t="s">
        <v>255</v>
      </c>
      <c r="L138" s="401" t="s">
        <v>255</v>
      </c>
      <c r="M138" s="401" t="s">
        <v>255</v>
      </c>
      <c r="N138" s="401" t="str">
        <f>VLOOKUP(C138,'Tack Welding'!$D$5:$J$94,7,0)</f>
        <v xml:space="preserve">Completed </v>
      </c>
      <c r="O138" s="401"/>
      <c r="P138" s="401"/>
    </row>
    <row r="139" spans="1:16" s="136" customFormat="1" ht="18.75" hidden="1" customHeight="1">
      <c r="A139" s="401"/>
      <c r="B139" s="401"/>
      <c r="C139" s="622"/>
      <c r="D139" s="454"/>
      <c r="E139" s="454"/>
      <c r="F139" s="404"/>
      <c r="G139" s="756" t="str">
        <f>C138</f>
        <v>8/0</v>
      </c>
      <c r="H139" s="457">
        <v>350</v>
      </c>
      <c r="I139" s="410"/>
      <c r="J139" s="407"/>
      <c r="K139" s="401"/>
      <c r="L139" s="401"/>
      <c r="M139" s="401"/>
      <c r="N139" s="401"/>
      <c r="O139" s="401"/>
      <c r="P139" s="401"/>
    </row>
    <row r="140" spans="1:16" s="136" customFormat="1" ht="18.75" customHeight="1">
      <c r="A140" s="401">
        <f>SUBTOTAL(103,$C$6:C140)</f>
        <v>68</v>
      </c>
      <c r="B140" s="401"/>
      <c r="C140" s="407" t="s">
        <v>392</v>
      </c>
      <c r="D140" s="623" t="s">
        <v>4</v>
      </c>
      <c r="E140" s="623"/>
      <c r="F140" s="409"/>
      <c r="G140" s="401"/>
      <c r="H140" s="459"/>
      <c r="I140" s="410">
        <f>ROUND(H139/1000,4)+I138</f>
        <v>26.209800000000008</v>
      </c>
      <c r="J140" s="405" t="s">
        <v>50</v>
      </c>
      <c r="K140" s="401" t="s">
        <v>255</v>
      </c>
      <c r="L140" s="401" t="s">
        <v>255</v>
      </c>
      <c r="M140" s="401" t="s">
        <v>255</v>
      </c>
      <c r="N140" s="401" t="str">
        <f>VLOOKUP(C140,'Tack Welding'!$D$5:$J$94,7,0)</f>
        <v xml:space="preserve">Completed </v>
      </c>
      <c r="O140" s="401"/>
      <c r="P140" s="401"/>
    </row>
    <row r="141" spans="1:16" s="136" customFormat="1" ht="18.75" hidden="1" customHeight="1">
      <c r="A141" s="401"/>
      <c r="B141" s="401"/>
      <c r="C141" s="622"/>
      <c r="D141" s="454"/>
      <c r="E141" s="454"/>
      <c r="F141" s="404"/>
      <c r="G141" s="756" t="str">
        <f>C140</f>
        <v>8/1</v>
      </c>
      <c r="H141" s="457">
        <v>330</v>
      </c>
      <c r="I141" s="410"/>
      <c r="J141" s="407"/>
      <c r="K141" s="401"/>
      <c r="L141" s="401"/>
      <c r="M141" s="401"/>
      <c r="N141" s="401"/>
      <c r="O141" s="401"/>
      <c r="P141" s="401"/>
    </row>
    <row r="142" spans="1:16" s="136" customFormat="1" ht="18.75" customHeight="1">
      <c r="A142" s="401">
        <f>SUBTOTAL(103,$C$6:C142)</f>
        <v>69</v>
      </c>
      <c r="B142" s="401"/>
      <c r="C142" s="407" t="s">
        <v>393</v>
      </c>
      <c r="D142" s="623" t="s">
        <v>79</v>
      </c>
      <c r="E142" s="623"/>
      <c r="F142" s="409"/>
      <c r="G142" s="401"/>
      <c r="H142" s="459"/>
      <c r="I142" s="410">
        <f>ROUND(H141/1000,4)+I140</f>
        <v>26.539800000000007</v>
      </c>
      <c r="J142" s="405" t="s">
        <v>50</v>
      </c>
      <c r="K142" s="401" t="s">
        <v>255</v>
      </c>
      <c r="L142" s="401" t="s">
        <v>255</v>
      </c>
      <c r="M142" s="401" t="s">
        <v>255</v>
      </c>
      <c r="N142" s="401" t="str">
        <f>VLOOKUP(C142,'Tack Welding'!$D$5:$J$94,7,0)</f>
        <v xml:space="preserve">Completed </v>
      </c>
      <c r="O142" s="401"/>
      <c r="P142" s="401"/>
    </row>
    <row r="143" spans="1:16" s="136" customFormat="1" ht="18.75" hidden="1" customHeight="1">
      <c r="A143" s="401"/>
      <c r="B143" s="401"/>
      <c r="C143" s="622"/>
      <c r="D143" s="454"/>
      <c r="E143" s="454"/>
      <c r="F143" s="404"/>
      <c r="G143" s="756" t="str">
        <f>C142</f>
        <v>8/2</v>
      </c>
      <c r="H143" s="457">
        <v>390</v>
      </c>
      <c r="I143" s="410"/>
      <c r="J143" s="407"/>
      <c r="K143" s="401"/>
      <c r="L143" s="401"/>
      <c r="M143" s="401"/>
      <c r="N143" s="401"/>
      <c r="O143" s="401"/>
      <c r="P143" s="401"/>
    </row>
    <row r="144" spans="1:16" s="136" customFormat="1" ht="18.75" customHeight="1">
      <c r="A144" s="401">
        <f>SUBTOTAL(103,$C$6:C144)</f>
        <v>70</v>
      </c>
      <c r="B144" s="401"/>
      <c r="C144" s="407" t="s">
        <v>394</v>
      </c>
      <c r="D144" s="623" t="s">
        <v>49</v>
      </c>
      <c r="E144" s="623"/>
      <c r="F144" s="409"/>
      <c r="G144" s="401"/>
      <c r="H144" s="459"/>
      <c r="I144" s="410">
        <f>ROUND(H143/1000,4)+I142</f>
        <v>26.929800000000007</v>
      </c>
      <c r="J144" s="405" t="s">
        <v>50</v>
      </c>
      <c r="K144" s="401" t="s">
        <v>255</v>
      </c>
      <c r="L144" s="401" t="s">
        <v>255</v>
      </c>
      <c r="M144" s="401" t="s">
        <v>255</v>
      </c>
      <c r="N144" s="401" t="str">
        <f>VLOOKUP(C144,'Tack Welding'!$D$5:$J$94,7,0)</f>
        <v xml:space="preserve">Completed </v>
      </c>
      <c r="O144" s="401"/>
      <c r="P144" s="401"/>
    </row>
    <row r="145" spans="1:16" s="136" customFormat="1" ht="18.75" hidden="1" customHeight="1">
      <c r="A145" s="401"/>
      <c r="B145" s="401"/>
      <c r="C145" s="622"/>
      <c r="D145" s="454"/>
      <c r="E145" s="454"/>
      <c r="F145" s="404"/>
      <c r="G145" s="756" t="str">
        <f>C144</f>
        <v>8/3</v>
      </c>
      <c r="H145" s="457">
        <v>400</v>
      </c>
      <c r="I145" s="410"/>
      <c r="J145" s="407"/>
      <c r="K145" s="401"/>
      <c r="L145" s="401"/>
      <c r="M145" s="401"/>
      <c r="N145" s="401"/>
      <c r="O145" s="401"/>
      <c r="P145" s="401"/>
    </row>
    <row r="146" spans="1:16" s="136" customFormat="1" ht="18.75" customHeight="1">
      <c r="A146" s="401">
        <f>SUBTOTAL(103,$C$6:C146)</f>
        <v>71</v>
      </c>
      <c r="B146" s="401"/>
      <c r="C146" s="407" t="s">
        <v>395</v>
      </c>
      <c r="D146" s="623" t="s">
        <v>79</v>
      </c>
      <c r="E146" s="623"/>
      <c r="F146" s="409"/>
      <c r="G146" s="401"/>
      <c r="H146" s="459"/>
      <c r="I146" s="410">
        <f>ROUND(H145/1000,4)+I144</f>
        <v>27.329800000000006</v>
      </c>
      <c r="J146" s="405" t="s">
        <v>50</v>
      </c>
      <c r="K146" s="401" t="s">
        <v>255</v>
      </c>
      <c r="L146" s="401" t="s">
        <v>255</v>
      </c>
      <c r="M146" s="401" t="s">
        <v>255</v>
      </c>
      <c r="N146" s="401" t="str">
        <f>VLOOKUP(C146,'Tack Welding'!$D$5:$J$94,7,0)</f>
        <v xml:space="preserve">Completed </v>
      </c>
      <c r="O146" s="401"/>
      <c r="P146" s="401"/>
    </row>
    <row r="147" spans="1:16" s="136" customFormat="1" ht="18.75" hidden="1" customHeight="1">
      <c r="A147" s="401"/>
      <c r="B147" s="401"/>
      <c r="C147" s="622"/>
      <c r="D147" s="454"/>
      <c r="E147" s="454"/>
      <c r="F147" s="404"/>
      <c r="G147" s="756" t="str">
        <f>C146</f>
        <v>8/4</v>
      </c>
      <c r="H147" s="457">
        <v>338</v>
      </c>
      <c r="I147" s="410"/>
      <c r="J147" s="407"/>
      <c r="K147" s="401"/>
      <c r="L147" s="401"/>
      <c r="M147" s="401"/>
      <c r="N147" s="401"/>
      <c r="O147" s="401"/>
      <c r="P147" s="401"/>
    </row>
    <row r="148" spans="1:16" s="136" customFormat="1" ht="18.75" customHeight="1">
      <c r="A148" s="401">
        <f>SUBTOTAL(103,$C$6:C148)</f>
        <v>72</v>
      </c>
      <c r="B148" s="401"/>
      <c r="C148" s="407" t="s">
        <v>396</v>
      </c>
      <c r="D148" s="623" t="s">
        <v>49</v>
      </c>
      <c r="E148" s="623"/>
      <c r="F148" s="409"/>
      <c r="G148" s="401"/>
      <c r="H148" s="459"/>
      <c r="I148" s="410">
        <f>ROUND(H147/1000,4)+I146</f>
        <v>27.667800000000007</v>
      </c>
      <c r="J148" s="405" t="s">
        <v>50</v>
      </c>
      <c r="K148" s="401" t="s">
        <v>255</v>
      </c>
      <c r="L148" s="401" t="s">
        <v>255</v>
      </c>
      <c r="M148" s="401" t="s">
        <v>255</v>
      </c>
      <c r="N148" s="401" t="str">
        <f>VLOOKUP(C148,'Tack Welding'!$D$5:$J$94,7,0)</f>
        <v xml:space="preserve">Completed </v>
      </c>
      <c r="O148" s="401"/>
      <c r="P148" s="401"/>
    </row>
    <row r="149" spans="1:16" s="136" customFormat="1" ht="18.75" hidden="1" customHeight="1">
      <c r="A149" s="401"/>
      <c r="B149" s="401"/>
      <c r="C149" s="622"/>
      <c r="D149" s="454"/>
      <c r="E149" s="454"/>
      <c r="F149" s="404"/>
      <c r="G149" s="756" t="str">
        <f>C148</f>
        <v>8/5</v>
      </c>
      <c r="H149" s="457">
        <v>357</v>
      </c>
      <c r="I149" s="410"/>
      <c r="J149" s="407"/>
      <c r="K149" s="401"/>
      <c r="L149" s="401"/>
      <c r="M149" s="401"/>
      <c r="N149" s="401"/>
      <c r="O149" s="401"/>
      <c r="P149" s="401"/>
    </row>
    <row r="150" spans="1:16" s="136" customFormat="1" ht="18.75" customHeight="1">
      <c r="A150" s="401">
        <f>SUBTOTAL(103,$C$6:C150)</f>
        <v>73</v>
      </c>
      <c r="B150" s="867"/>
      <c r="C150" s="407" t="s">
        <v>397</v>
      </c>
      <c r="D150" s="623" t="s">
        <v>2</v>
      </c>
      <c r="E150" s="623"/>
      <c r="F150" s="409"/>
      <c r="G150" s="401"/>
      <c r="H150" s="459"/>
      <c r="I150" s="410">
        <f>ROUND(H149/1000,4)+I148</f>
        <v>28.024800000000006</v>
      </c>
      <c r="J150" s="405" t="s">
        <v>50</v>
      </c>
      <c r="K150" s="401" t="s">
        <v>255</v>
      </c>
      <c r="L150" s="401" t="s">
        <v>255</v>
      </c>
      <c r="M150" s="401" t="s">
        <v>255</v>
      </c>
      <c r="N150" s="401" t="str">
        <f>VLOOKUP(C150,'Tack Welding'!$D$5:$J$94,7,0)</f>
        <v xml:space="preserve">Completed </v>
      </c>
      <c r="O150" s="401"/>
      <c r="P150" s="401"/>
    </row>
    <row r="151" spans="1:16" s="136" customFormat="1" ht="18.75" hidden="1" customHeight="1">
      <c r="A151" s="401"/>
      <c r="B151" s="401"/>
      <c r="C151" s="622"/>
      <c r="D151" s="454"/>
      <c r="E151" s="454"/>
      <c r="F151" s="404"/>
      <c r="G151" s="756" t="str">
        <f>C150</f>
        <v>8/6</v>
      </c>
      <c r="H151" s="457">
        <v>335</v>
      </c>
      <c r="I151" s="410"/>
      <c r="J151" s="407"/>
      <c r="K151" s="401"/>
      <c r="L151" s="401"/>
      <c r="M151" s="401"/>
      <c r="N151" s="401"/>
      <c r="O151" s="401"/>
      <c r="P151" s="401"/>
    </row>
    <row r="152" spans="1:16" s="136" customFormat="1" ht="18.75" customHeight="1">
      <c r="A152" s="401">
        <f>SUBTOTAL(103,$C$6:C152)</f>
        <v>74</v>
      </c>
      <c r="B152" s="401"/>
      <c r="C152" s="407" t="s">
        <v>398</v>
      </c>
      <c r="D152" s="623" t="s">
        <v>2</v>
      </c>
      <c r="E152" s="623"/>
      <c r="F152" s="409"/>
      <c r="G152" s="401"/>
      <c r="H152" s="459"/>
      <c r="I152" s="410">
        <f>ROUND(H151/1000,4)+I150</f>
        <v>28.359800000000007</v>
      </c>
      <c r="J152" s="405" t="s">
        <v>50</v>
      </c>
      <c r="K152" s="401" t="s">
        <v>255</v>
      </c>
      <c r="L152" s="401" t="s">
        <v>255</v>
      </c>
      <c r="M152" s="401" t="s">
        <v>255</v>
      </c>
      <c r="N152" s="401" t="str">
        <f>VLOOKUP(C152,'Tack Welding'!$D$5:$J$94,7,0)</f>
        <v xml:space="preserve">Completed </v>
      </c>
      <c r="O152" s="401"/>
      <c r="P152" s="401"/>
    </row>
    <row r="153" spans="1:16" s="136" customFormat="1" ht="18.75" hidden="1" customHeight="1">
      <c r="A153" s="401"/>
      <c r="B153" s="401"/>
      <c r="C153" s="622"/>
      <c r="D153" s="454"/>
      <c r="E153" s="454"/>
      <c r="F153" s="404"/>
      <c r="G153" s="756" t="str">
        <f>C152</f>
        <v>8/7</v>
      </c>
      <c r="H153" s="457">
        <v>415</v>
      </c>
      <c r="I153" s="410"/>
      <c r="J153" s="407"/>
      <c r="K153" s="401"/>
      <c r="L153" s="401"/>
      <c r="M153" s="401"/>
      <c r="N153" s="401"/>
      <c r="O153" s="401"/>
      <c r="P153" s="401"/>
    </row>
    <row r="154" spans="1:16" s="136" customFormat="1" ht="18.75" customHeight="1">
      <c r="A154" s="401">
        <f>SUBTOTAL(103,$C$6:C154)</f>
        <v>75</v>
      </c>
      <c r="B154" s="401"/>
      <c r="C154" s="407" t="s">
        <v>399</v>
      </c>
      <c r="D154" s="623" t="s">
        <v>49</v>
      </c>
      <c r="E154" s="623"/>
      <c r="F154" s="409"/>
      <c r="G154" s="401"/>
      <c r="H154" s="459"/>
      <c r="I154" s="410">
        <f>ROUND(H153/1000,4)+I152</f>
        <v>28.774800000000006</v>
      </c>
      <c r="J154" s="405" t="s">
        <v>50</v>
      </c>
      <c r="K154" s="401" t="s">
        <v>255</v>
      </c>
      <c r="L154" s="401" t="s">
        <v>255</v>
      </c>
      <c r="M154" s="401" t="s">
        <v>255</v>
      </c>
      <c r="N154" s="401" t="str">
        <f>VLOOKUP(C154,'Tack Welding'!$D$5:$J$94,7,0)</f>
        <v xml:space="preserve">Completed </v>
      </c>
      <c r="O154" s="401"/>
      <c r="P154" s="401"/>
    </row>
    <row r="155" spans="1:16" s="136" customFormat="1" ht="18.75" hidden="1" customHeight="1">
      <c r="A155" s="401"/>
      <c r="B155" s="401"/>
      <c r="C155" s="622"/>
      <c r="D155" s="454"/>
      <c r="E155" s="454"/>
      <c r="F155" s="404"/>
      <c r="G155" s="756" t="str">
        <f>C154</f>
        <v>8/8</v>
      </c>
      <c r="H155" s="457">
        <v>375</v>
      </c>
      <c r="I155" s="410"/>
      <c r="J155" s="407"/>
      <c r="K155" s="401"/>
      <c r="L155" s="401"/>
      <c r="M155" s="401"/>
      <c r="N155" s="401"/>
      <c r="O155" s="401"/>
      <c r="P155" s="401"/>
    </row>
    <row r="156" spans="1:16" s="136" customFormat="1" ht="18.75" customHeight="1">
      <c r="A156" s="401">
        <f>SUBTOTAL(103,$C$6:C156)</f>
        <v>76</v>
      </c>
      <c r="B156" s="401"/>
      <c r="C156" s="407" t="s">
        <v>400</v>
      </c>
      <c r="D156" s="623" t="s">
        <v>2</v>
      </c>
      <c r="E156" s="623"/>
      <c r="F156" s="409"/>
      <c r="G156" s="401"/>
      <c r="H156" s="459"/>
      <c r="I156" s="410">
        <f>ROUND(H155/1000,4)+I154</f>
        <v>29.149800000000006</v>
      </c>
      <c r="J156" s="405" t="s">
        <v>50</v>
      </c>
      <c r="K156" s="401" t="s">
        <v>255</v>
      </c>
      <c r="L156" s="401" t="s">
        <v>255</v>
      </c>
      <c r="M156" s="401" t="s">
        <v>255</v>
      </c>
      <c r="N156" s="401" t="str">
        <f>VLOOKUP(C156,'Tack Welding'!$D$5:$J$94,7,0)</f>
        <v xml:space="preserve">Completed </v>
      </c>
      <c r="O156" s="401"/>
      <c r="P156" s="401"/>
    </row>
    <row r="157" spans="1:16" s="136" customFormat="1" ht="18.75" hidden="1" customHeight="1">
      <c r="A157" s="401"/>
      <c r="B157" s="401"/>
      <c r="C157" s="622"/>
      <c r="D157" s="454"/>
      <c r="E157" s="454"/>
      <c r="F157" s="404"/>
      <c r="G157" s="756" t="str">
        <f>C156</f>
        <v>8/9</v>
      </c>
      <c r="H157" s="457">
        <v>375</v>
      </c>
      <c r="I157" s="410"/>
      <c r="J157" s="407"/>
      <c r="K157" s="401"/>
      <c r="L157" s="401"/>
      <c r="M157" s="401"/>
      <c r="N157" s="401"/>
      <c r="O157" s="401"/>
      <c r="P157" s="401"/>
    </row>
    <row r="158" spans="1:16" s="136" customFormat="1" ht="18.75" customHeight="1">
      <c r="A158" s="401">
        <f>SUBTOTAL(103,$C$6:C158)</f>
        <v>77</v>
      </c>
      <c r="B158" s="401"/>
      <c r="C158" s="407" t="s">
        <v>401</v>
      </c>
      <c r="D158" s="623" t="s">
        <v>3</v>
      </c>
      <c r="E158" s="623"/>
      <c r="F158" s="409"/>
      <c r="G158" s="401"/>
      <c r="H158" s="459"/>
      <c r="I158" s="410">
        <f>ROUND(H157/1000,4)+I156</f>
        <v>29.524800000000006</v>
      </c>
      <c r="J158" s="405" t="s">
        <v>50</v>
      </c>
      <c r="K158" s="401" t="s">
        <v>255</v>
      </c>
      <c r="L158" s="401" t="s">
        <v>255</v>
      </c>
      <c r="M158" s="401" t="s">
        <v>255</v>
      </c>
      <c r="N158" s="401" t="str">
        <f>VLOOKUP(C158,'Tack Welding'!$D$5:$J$94,7,0)</f>
        <v xml:space="preserve">Completed </v>
      </c>
      <c r="O158" s="401"/>
      <c r="P158" s="401"/>
    </row>
    <row r="159" spans="1:16" s="136" customFormat="1" ht="18.75" hidden="1" customHeight="1">
      <c r="A159" s="401"/>
      <c r="B159" s="401"/>
      <c r="C159" s="622"/>
      <c r="D159" s="454"/>
      <c r="E159" s="454"/>
      <c r="F159" s="404"/>
      <c r="G159" s="756" t="str">
        <f>C158</f>
        <v>8/10</v>
      </c>
      <c r="H159" s="457">
        <v>375</v>
      </c>
      <c r="I159" s="410"/>
      <c r="J159" s="407"/>
      <c r="K159" s="401"/>
      <c r="L159" s="401"/>
      <c r="M159" s="401"/>
      <c r="N159" s="401"/>
      <c r="O159" s="401"/>
      <c r="P159" s="401"/>
    </row>
    <row r="160" spans="1:16" s="136" customFormat="1" ht="18.75" customHeight="1">
      <c r="A160" s="401">
        <f>SUBTOTAL(103,$C$6:C160)</f>
        <v>78</v>
      </c>
      <c r="B160" s="401"/>
      <c r="C160" s="407" t="s">
        <v>402</v>
      </c>
      <c r="D160" s="623" t="s">
        <v>49</v>
      </c>
      <c r="E160" s="623"/>
      <c r="F160" s="409"/>
      <c r="G160" s="401"/>
      <c r="H160" s="459"/>
      <c r="I160" s="410">
        <f>ROUND(H159/1000,4)+I158</f>
        <v>29.899800000000006</v>
      </c>
      <c r="J160" s="405" t="s">
        <v>50</v>
      </c>
      <c r="K160" s="401" t="s">
        <v>255</v>
      </c>
      <c r="L160" s="401" t="s">
        <v>255</v>
      </c>
      <c r="M160" s="401" t="s">
        <v>255</v>
      </c>
      <c r="N160" s="401" t="s">
        <v>964</v>
      </c>
      <c r="O160" s="401"/>
      <c r="P160" s="401"/>
    </row>
    <row r="161" spans="1:16" s="136" customFormat="1" ht="18.75" hidden="1" customHeight="1">
      <c r="A161" s="401"/>
      <c r="B161" s="401"/>
      <c r="C161" s="622"/>
      <c r="D161" s="454"/>
      <c r="E161" s="454"/>
      <c r="F161" s="404"/>
      <c r="G161" s="756" t="str">
        <f>C160</f>
        <v>8/11</v>
      </c>
      <c r="H161" s="457">
        <v>415</v>
      </c>
      <c r="I161" s="410"/>
      <c r="J161" s="407"/>
      <c r="K161" s="401"/>
      <c r="L161" s="401"/>
      <c r="M161" s="401"/>
      <c r="N161" s="401"/>
      <c r="O161" s="401"/>
      <c r="P161" s="401"/>
    </row>
    <row r="162" spans="1:16" s="136" customFormat="1" ht="18.75" customHeight="1">
      <c r="A162" s="401">
        <f>SUBTOTAL(103,$C$6:C162)</f>
        <v>79</v>
      </c>
      <c r="B162" s="402" t="s">
        <v>545</v>
      </c>
      <c r="C162" s="407" t="s">
        <v>484</v>
      </c>
      <c r="D162" s="623" t="s">
        <v>403</v>
      </c>
      <c r="E162" s="623"/>
      <c r="F162" s="404"/>
      <c r="G162" s="403"/>
      <c r="H162" s="459"/>
      <c r="I162" s="410">
        <f>ROUND(H161/1000,4)+I160</f>
        <v>30.314800000000005</v>
      </c>
      <c r="J162" s="405" t="s">
        <v>50</v>
      </c>
      <c r="K162" s="401" t="s">
        <v>255</v>
      </c>
      <c r="L162" s="401" t="s">
        <v>255</v>
      </c>
      <c r="M162" s="401" t="s">
        <v>255</v>
      </c>
      <c r="N162" s="401" t="s">
        <v>964</v>
      </c>
      <c r="O162" s="401"/>
      <c r="P162" s="401"/>
    </row>
    <row r="163" spans="1:16" s="136" customFormat="1" ht="18.75" hidden="1" customHeight="1">
      <c r="A163" s="401"/>
      <c r="B163" s="401"/>
      <c r="C163" s="622"/>
      <c r="D163" s="454"/>
      <c r="E163" s="454"/>
      <c r="F163" s="404"/>
      <c r="G163" s="756" t="str">
        <f>C162</f>
        <v>8A/0</v>
      </c>
      <c r="H163" s="457">
        <v>466.63</v>
      </c>
      <c r="I163" s="410"/>
      <c r="J163" s="407"/>
      <c r="K163" s="401"/>
      <c r="L163" s="401"/>
      <c r="M163" s="401"/>
      <c r="N163" s="401"/>
      <c r="O163" s="401"/>
      <c r="P163" s="401"/>
    </row>
    <row r="164" spans="1:16" s="136" customFormat="1" ht="18.75" customHeight="1">
      <c r="A164" s="401">
        <f>SUBTOTAL(103,$C$6:C164)</f>
        <v>80</v>
      </c>
      <c r="B164" s="402" t="s">
        <v>546</v>
      </c>
      <c r="C164" s="407" t="s">
        <v>263</v>
      </c>
      <c r="D164" s="623" t="s">
        <v>403</v>
      </c>
      <c r="E164" s="623"/>
      <c r="F164" s="404"/>
      <c r="G164" s="403"/>
      <c r="H164" s="459"/>
      <c r="I164" s="410">
        <f>ROUND(H163/1000,4)+I162</f>
        <v>30.781400000000005</v>
      </c>
      <c r="J164" s="405" t="s">
        <v>50</v>
      </c>
      <c r="K164" s="401" t="s">
        <v>255</v>
      </c>
      <c r="L164" s="401" t="s">
        <v>255</v>
      </c>
      <c r="M164" s="401" t="s">
        <v>255</v>
      </c>
      <c r="N164" s="401"/>
      <c r="O164" s="401" t="s">
        <v>964</v>
      </c>
      <c r="P164" s="401"/>
    </row>
    <row r="165" spans="1:16" s="136" customFormat="1" ht="18.75" hidden="1" customHeight="1">
      <c r="A165" s="401"/>
      <c r="B165" s="401"/>
      <c r="C165" s="622"/>
      <c r="D165" s="454"/>
      <c r="E165" s="454"/>
      <c r="F165" s="404"/>
      <c r="G165" s="756" t="str">
        <f>C164</f>
        <v>9/0</v>
      </c>
      <c r="H165" s="457">
        <v>418.37200000000001</v>
      </c>
      <c r="I165" s="410"/>
      <c r="J165" s="407"/>
      <c r="K165" s="401"/>
      <c r="L165" s="401"/>
      <c r="M165" s="401"/>
      <c r="N165" s="401"/>
      <c r="O165" s="401"/>
      <c r="P165" s="401"/>
    </row>
    <row r="166" spans="1:16" s="136" customFormat="1" ht="18.75" customHeight="1">
      <c r="A166" s="401">
        <f>SUBTOTAL(103,$C$6:C166)</f>
        <v>81</v>
      </c>
      <c r="B166" s="401"/>
      <c r="C166" s="407" t="s">
        <v>404</v>
      </c>
      <c r="D166" s="623" t="s">
        <v>2</v>
      </c>
      <c r="E166" s="623"/>
      <c r="F166" s="409"/>
      <c r="G166" s="401"/>
      <c r="H166" s="459"/>
      <c r="I166" s="410">
        <f>ROUND(H165/1000,4)+I164</f>
        <v>31.199800000000003</v>
      </c>
      <c r="J166" s="405" t="s">
        <v>50</v>
      </c>
      <c r="K166" s="401" t="s">
        <v>255</v>
      </c>
      <c r="L166" s="401" t="s">
        <v>255</v>
      </c>
      <c r="M166" s="401" t="s">
        <v>255</v>
      </c>
      <c r="N166" s="401" t="str">
        <f>VLOOKUP(C166,'Tack Welding'!$D$5:$J$94,7,0)</f>
        <v xml:space="preserve">Completed </v>
      </c>
      <c r="O166" s="401"/>
      <c r="P166" s="401"/>
    </row>
    <row r="167" spans="1:16" s="136" customFormat="1" ht="18.75" hidden="1" customHeight="1">
      <c r="A167" s="401"/>
      <c r="B167" s="401"/>
      <c r="C167" s="622"/>
      <c r="D167" s="454"/>
      <c r="E167" s="454"/>
      <c r="F167" s="404"/>
      <c r="G167" s="756" t="str">
        <f>C166</f>
        <v>9/1</v>
      </c>
      <c r="H167" s="457">
        <v>410</v>
      </c>
      <c r="I167" s="410"/>
      <c r="J167" s="407"/>
      <c r="K167" s="401"/>
      <c r="L167" s="401"/>
      <c r="M167" s="401"/>
      <c r="N167" s="401"/>
      <c r="O167" s="401"/>
      <c r="P167" s="401"/>
    </row>
    <row r="168" spans="1:16" s="136" customFormat="1" ht="18.75" customHeight="1">
      <c r="A168" s="401">
        <f>SUBTOTAL(103,$C$6:C168)</f>
        <v>82</v>
      </c>
      <c r="B168" s="401"/>
      <c r="C168" s="407" t="s">
        <v>406</v>
      </c>
      <c r="D168" s="623" t="s">
        <v>2</v>
      </c>
      <c r="E168" s="623"/>
      <c r="F168" s="409"/>
      <c r="G168" s="401"/>
      <c r="H168" s="459"/>
      <c r="I168" s="410">
        <f>ROUND(H167/1000,4)+I166</f>
        <v>31.609800000000003</v>
      </c>
      <c r="J168" s="405" t="s">
        <v>50</v>
      </c>
      <c r="K168" s="401" t="s">
        <v>255</v>
      </c>
      <c r="L168" s="401" t="s">
        <v>255</v>
      </c>
      <c r="M168" s="401" t="s">
        <v>255</v>
      </c>
      <c r="N168" s="401" t="str">
        <f>VLOOKUP(C168,'Tack Welding'!$D$5:$J$94,7,0)</f>
        <v xml:space="preserve">Completed </v>
      </c>
      <c r="O168" s="401"/>
      <c r="P168" s="401"/>
    </row>
    <row r="169" spans="1:16" s="136" customFormat="1" ht="18.75" hidden="1" customHeight="1">
      <c r="A169" s="401"/>
      <c r="B169" s="401"/>
      <c r="C169" s="622"/>
      <c r="D169" s="454"/>
      <c r="E169" s="454"/>
      <c r="F169" s="404"/>
      <c r="G169" s="756" t="str">
        <f>C168</f>
        <v>9/2</v>
      </c>
      <c r="H169" s="457">
        <v>395</v>
      </c>
      <c r="I169" s="410"/>
      <c r="J169" s="407"/>
      <c r="K169" s="401"/>
      <c r="L169" s="401"/>
      <c r="M169" s="401"/>
      <c r="N169" s="401"/>
      <c r="O169" s="401"/>
      <c r="P169" s="401"/>
    </row>
    <row r="170" spans="1:16" s="136" customFormat="1" ht="18.75" customHeight="1">
      <c r="A170" s="401">
        <f>SUBTOTAL(103,$C$6:C170)</f>
        <v>83</v>
      </c>
      <c r="B170" s="401"/>
      <c r="C170" s="407" t="s">
        <v>407</v>
      </c>
      <c r="D170" s="623" t="s">
        <v>3</v>
      </c>
      <c r="E170" s="623"/>
      <c r="F170" s="409"/>
      <c r="G170" s="401"/>
      <c r="H170" s="459"/>
      <c r="I170" s="410">
        <f>ROUND(H169/1000,4)+I168</f>
        <v>32.004800000000003</v>
      </c>
      <c r="J170" s="405" t="s">
        <v>50</v>
      </c>
      <c r="K170" s="401" t="s">
        <v>255</v>
      </c>
      <c r="L170" s="401" t="s">
        <v>255</v>
      </c>
      <c r="M170" s="401" t="s">
        <v>255</v>
      </c>
      <c r="N170" s="401" t="str">
        <f>VLOOKUP(C170,'Tack Welding'!$D$5:$J$94,7,0)</f>
        <v xml:space="preserve">Completed </v>
      </c>
      <c r="O170" s="401"/>
      <c r="P170" s="401"/>
    </row>
    <row r="171" spans="1:16" s="136" customFormat="1" ht="18.75" hidden="1" customHeight="1">
      <c r="A171" s="401"/>
      <c r="B171" s="401"/>
      <c r="C171" s="622"/>
      <c r="D171" s="454"/>
      <c r="E171" s="454"/>
      <c r="F171" s="404"/>
      <c r="G171" s="756" t="str">
        <f>C170</f>
        <v>9/3</v>
      </c>
      <c r="H171" s="457">
        <v>395</v>
      </c>
      <c r="I171" s="410"/>
      <c r="J171" s="407"/>
      <c r="K171" s="401"/>
      <c r="L171" s="401"/>
      <c r="M171" s="401"/>
      <c r="N171" s="401"/>
      <c r="O171" s="401"/>
      <c r="P171" s="401"/>
    </row>
    <row r="172" spans="1:16" s="136" customFormat="1" ht="18.75" customHeight="1">
      <c r="A172" s="401">
        <f>SUBTOTAL(103,$C$6:C172)</f>
        <v>84</v>
      </c>
      <c r="B172" s="401"/>
      <c r="C172" s="407" t="s">
        <v>370</v>
      </c>
      <c r="D172" s="623" t="s">
        <v>79</v>
      </c>
      <c r="E172" s="623"/>
      <c r="F172" s="409"/>
      <c r="G172" s="401"/>
      <c r="H172" s="459"/>
      <c r="I172" s="410">
        <f>ROUND(H171/1000,4)+I170</f>
        <v>32.399800000000006</v>
      </c>
      <c r="J172" s="405" t="s">
        <v>50</v>
      </c>
      <c r="K172" s="401" t="s">
        <v>255</v>
      </c>
      <c r="L172" s="401" t="s">
        <v>255</v>
      </c>
      <c r="M172" s="401" t="s">
        <v>255</v>
      </c>
      <c r="N172" s="401" t="str">
        <f>VLOOKUP(C172,'Tack Welding'!$D$5:$J$94,7,0)</f>
        <v xml:space="preserve">Completed </v>
      </c>
      <c r="O172" s="401"/>
      <c r="P172" s="401"/>
    </row>
    <row r="173" spans="1:16" s="136" customFormat="1" ht="18.75" hidden="1" customHeight="1">
      <c r="A173" s="401"/>
      <c r="B173" s="401"/>
      <c r="C173" s="622"/>
      <c r="D173" s="454"/>
      <c r="E173" s="454"/>
      <c r="F173" s="404"/>
      <c r="G173" s="756" t="str">
        <f>C172</f>
        <v>9/4</v>
      </c>
      <c r="H173" s="457">
        <v>425</v>
      </c>
      <c r="I173" s="410"/>
      <c r="J173" s="407"/>
      <c r="K173" s="401"/>
      <c r="L173" s="401"/>
      <c r="M173" s="401"/>
      <c r="N173" s="401"/>
      <c r="O173" s="401"/>
      <c r="P173" s="401"/>
    </row>
    <row r="174" spans="1:16" s="136" customFormat="1" ht="18.75" customHeight="1">
      <c r="A174" s="401">
        <f>SUBTOTAL(103,$C$6:C174)</f>
        <v>85</v>
      </c>
      <c r="B174" s="401"/>
      <c r="C174" s="407" t="s">
        <v>371</v>
      </c>
      <c r="D174" s="623" t="s">
        <v>2</v>
      </c>
      <c r="E174" s="623"/>
      <c r="F174" s="409"/>
      <c r="G174" s="401"/>
      <c r="H174" s="459"/>
      <c r="I174" s="410">
        <f>ROUND(H173/1000,4)+I172</f>
        <v>32.824800000000003</v>
      </c>
      <c r="J174" s="405" t="s">
        <v>50</v>
      </c>
      <c r="K174" s="401" t="s">
        <v>255</v>
      </c>
      <c r="L174" s="401" t="s">
        <v>255</v>
      </c>
      <c r="M174" s="401" t="s">
        <v>255</v>
      </c>
      <c r="N174" s="401"/>
      <c r="O174" s="401"/>
      <c r="P174" s="401"/>
    </row>
    <row r="175" spans="1:16" s="136" customFormat="1" ht="18.75" hidden="1" customHeight="1">
      <c r="A175" s="401"/>
      <c r="B175" s="401"/>
      <c r="C175" s="622"/>
      <c r="D175" s="454"/>
      <c r="E175" s="454"/>
      <c r="F175" s="404"/>
      <c r="G175" s="756" t="str">
        <f>C174</f>
        <v>9/5</v>
      </c>
      <c r="H175" s="457">
        <v>415</v>
      </c>
      <c r="I175" s="410"/>
      <c r="J175" s="407"/>
      <c r="K175" s="401"/>
      <c r="L175" s="401"/>
      <c r="M175" s="401"/>
      <c r="N175" s="401"/>
      <c r="O175" s="401"/>
      <c r="P175" s="401"/>
    </row>
    <row r="176" spans="1:16" s="136" customFormat="1" ht="18.75" customHeight="1">
      <c r="A176" s="401">
        <f>SUBTOTAL(103,$C$6:C176)</f>
        <v>86</v>
      </c>
      <c r="B176" s="401"/>
      <c r="C176" s="407" t="s">
        <v>372</v>
      </c>
      <c r="D176" s="623" t="s">
        <v>2</v>
      </c>
      <c r="E176" s="623"/>
      <c r="F176" s="409"/>
      <c r="G176" s="401"/>
      <c r="H176" s="459"/>
      <c r="I176" s="410">
        <f>ROUND(H175/1000,4)+I174</f>
        <v>33.239800000000002</v>
      </c>
      <c r="J176" s="405" t="s">
        <v>50</v>
      </c>
      <c r="K176" s="401" t="s">
        <v>255</v>
      </c>
      <c r="L176" s="401" t="s">
        <v>255</v>
      </c>
      <c r="M176" s="401" t="s">
        <v>255</v>
      </c>
      <c r="N176" s="401"/>
      <c r="O176" s="401"/>
      <c r="P176" s="401"/>
    </row>
    <row r="177" spans="1:16" s="136" customFormat="1" ht="18.75" hidden="1" customHeight="1">
      <c r="A177" s="401"/>
      <c r="B177" s="401"/>
      <c r="C177" s="622"/>
      <c r="D177" s="454"/>
      <c r="E177" s="454"/>
      <c r="F177" s="404"/>
      <c r="G177" s="756" t="str">
        <f>C176</f>
        <v>9/6</v>
      </c>
      <c r="H177" s="457">
        <v>405</v>
      </c>
      <c r="I177" s="410"/>
      <c r="J177" s="407"/>
      <c r="K177" s="401"/>
      <c r="L177" s="401"/>
      <c r="M177" s="401"/>
      <c r="N177" s="401"/>
      <c r="O177" s="401"/>
      <c r="P177" s="401"/>
    </row>
    <row r="178" spans="1:16" s="136" customFormat="1" ht="18.75" customHeight="1">
      <c r="A178" s="401">
        <f>SUBTOTAL(103,$C$6:C178)</f>
        <v>87</v>
      </c>
      <c r="B178" s="401"/>
      <c r="C178" s="407" t="s">
        <v>408</v>
      </c>
      <c r="D178" s="623" t="s">
        <v>49</v>
      </c>
      <c r="E178" s="623"/>
      <c r="F178" s="409"/>
      <c r="G178" s="401"/>
      <c r="H178" s="459"/>
      <c r="I178" s="410">
        <f>ROUND(H177/1000,4)+I176</f>
        <v>33.644800000000004</v>
      </c>
      <c r="J178" s="405" t="s">
        <v>50</v>
      </c>
      <c r="K178" s="401" t="s">
        <v>255</v>
      </c>
      <c r="L178" s="401" t="s">
        <v>255</v>
      </c>
      <c r="M178" s="401" t="s">
        <v>255</v>
      </c>
      <c r="N178" s="401"/>
      <c r="O178" s="401"/>
      <c r="P178" s="401"/>
    </row>
    <row r="179" spans="1:16" s="136" customFormat="1" ht="18.75" hidden="1" customHeight="1">
      <c r="A179" s="401"/>
      <c r="B179" s="401"/>
      <c r="C179" s="622"/>
      <c r="D179" s="454"/>
      <c r="E179" s="454"/>
      <c r="F179" s="404"/>
      <c r="G179" s="756" t="str">
        <f>C178</f>
        <v>9/7</v>
      </c>
      <c r="H179" s="457">
        <v>435</v>
      </c>
      <c r="I179" s="410"/>
      <c r="J179" s="407"/>
      <c r="K179" s="401"/>
      <c r="L179" s="401"/>
      <c r="M179" s="401"/>
      <c r="N179" s="401"/>
      <c r="O179" s="401"/>
      <c r="P179" s="401"/>
    </row>
    <row r="180" spans="1:16" s="136" customFormat="1" ht="18.75" customHeight="1">
      <c r="A180" s="401">
        <f>SUBTOTAL(103,$C$4:C182)</f>
        <v>90</v>
      </c>
      <c r="B180" s="401"/>
      <c r="C180" s="407" t="s">
        <v>409</v>
      </c>
      <c r="D180" s="623" t="s">
        <v>3</v>
      </c>
      <c r="E180" s="623"/>
      <c r="F180" s="409"/>
      <c r="G180" s="401"/>
      <c r="H180" s="459"/>
      <c r="I180" s="410">
        <f>ROUND(H179/1000,4)+I178</f>
        <v>34.079800000000006</v>
      </c>
      <c r="J180" s="405" t="s">
        <v>50</v>
      </c>
      <c r="K180" s="401" t="s">
        <v>255</v>
      </c>
      <c r="L180" s="401" t="s">
        <v>255</v>
      </c>
      <c r="M180" s="401" t="s">
        <v>255</v>
      </c>
      <c r="N180" s="401"/>
      <c r="O180" s="401"/>
      <c r="P180" s="401"/>
    </row>
    <row r="181" spans="1:16" s="136" customFormat="1" ht="18.75" hidden="1" customHeight="1">
      <c r="A181" s="401"/>
      <c r="B181" s="401"/>
      <c r="C181" s="622"/>
      <c r="D181" s="454"/>
      <c r="E181" s="454"/>
      <c r="F181" s="404"/>
      <c r="G181" s="756" t="str">
        <f>C180</f>
        <v>9/8</v>
      </c>
      <c r="H181" s="457">
        <v>405</v>
      </c>
      <c r="I181" s="410"/>
      <c r="J181" s="407"/>
      <c r="K181" s="401"/>
      <c r="L181" s="401"/>
      <c r="M181" s="401"/>
      <c r="N181" s="401"/>
      <c r="O181" s="401"/>
      <c r="P181" s="401"/>
    </row>
    <row r="182" spans="1:16" s="136" customFormat="1" ht="18.75" customHeight="1">
      <c r="A182" s="401">
        <f>SUBTOTAL(103,$C$6:C182)</f>
        <v>89</v>
      </c>
      <c r="B182" s="401"/>
      <c r="C182" s="407" t="s">
        <v>410</v>
      </c>
      <c r="D182" s="623" t="s">
        <v>3</v>
      </c>
      <c r="E182" s="623"/>
      <c r="F182" s="409"/>
      <c r="G182" s="401"/>
      <c r="H182" s="459"/>
      <c r="I182" s="410">
        <f>ROUND(H181/1000,4)+I180</f>
        <v>34.484800000000007</v>
      </c>
      <c r="J182" s="405" t="s">
        <v>50</v>
      </c>
      <c r="K182" s="401" t="s">
        <v>255</v>
      </c>
      <c r="L182" s="401" t="s">
        <v>255</v>
      </c>
      <c r="M182" s="401" t="s">
        <v>255</v>
      </c>
      <c r="N182" s="401"/>
      <c r="O182" s="401"/>
      <c r="P182" s="401"/>
    </row>
    <row r="183" spans="1:16" s="136" customFormat="1" ht="18.75" hidden="1" customHeight="1">
      <c r="A183" s="401"/>
      <c r="B183" s="401"/>
      <c r="C183" s="622"/>
      <c r="D183" s="454"/>
      <c r="E183" s="454"/>
      <c r="F183" s="404"/>
      <c r="G183" s="756" t="str">
        <f>C182</f>
        <v>9/9</v>
      </c>
      <c r="H183" s="457">
        <v>435</v>
      </c>
      <c r="I183" s="410"/>
      <c r="J183" s="407"/>
      <c r="K183" s="401"/>
      <c r="L183" s="401"/>
      <c r="M183" s="401"/>
      <c r="N183" s="401"/>
      <c r="O183" s="401"/>
      <c r="P183" s="401"/>
    </row>
    <row r="184" spans="1:16" s="136" customFormat="1" ht="18.75" customHeight="1">
      <c r="A184" s="401">
        <f>SUBTOTAL(103,$C$6:C184)</f>
        <v>90</v>
      </c>
      <c r="B184" s="401"/>
      <c r="C184" s="407" t="s">
        <v>411</v>
      </c>
      <c r="D184" s="623" t="s">
        <v>2</v>
      </c>
      <c r="E184" s="623"/>
      <c r="F184" s="409"/>
      <c r="G184" s="401"/>
      <c r="H184" s="459"/>
      <c r="I184" s="410">
        <f>ROUND(H183/1000,4)+I182</f>
        <v>34.919800000000009</v>
      </c>
      <c r="J184" s="405" t="s">
        <v>50</v>
      </c>
      <c r="K184" s="401" t="s">
        <v>255</v>
      </c>
      <c r="L184" s="401" t="s">
        <v>255</v>
      </c>
      <c r="M184" s="401" t="s">
        <v>255</v>
      </c>
      <c r="N184" s="401"/>
      <c r="O184" s="401"/>
      <c r="P184" s="401"/>
    </row>
    <row r="185" spans="1:16" s="136" customFormat="1" ht="18.75" hidden="1" customHeight="1">
      <c r="A185" s="401"/>
      <c r="B185" s="401"/>
      <c r="C185" s="622"/>
      <c r="D185" s="454"/>
      <c r="E185" s="454"/>
      <c r="F185" s="404"/>
      <c r="G185" s="756" t="str">
        <f>C184</f>
        <v>9/10</v>
      </c>
      <c r="H185" s="457">
        <v>395</v>
      </c>
      <c r="I185" s="410"/>
      <c r="J185" s="407"/>
      <c r="K185" s="401"/>
      <c r="L185" s="401"/>
      <c r="M185" s="401"/>
      <c r="N185" s="401"/>
      <c r="O185" s="401"/>
      <c r="P185" s="401"/>
    </row>
    <row r="186" spans="1:16" s="136" customFormat="1" ht="18.75" customHeight="1">
      <c r="A186" s="401">
        <f>SUBTOTAL(103,$C$6:C186)</f>
        <v>91</v>
      </c>
      <c r="B186" s="401"/>
      <c r="C186" s="407" t="s">
        <v>412</v>
      </c>
      <c r="D186" s="623" t="s">
        <v>2</v>
      </c>
      <c r="E186" s="623"/>
      <c r="F186" s="409"/>
      <c r="G186" s="401"/>
      <c r="H186" s="459"/>
      <c r="I186" s="410">
        <f>ROUND(H185/1000,4)+I184</f>
        <v>35.314800000000012</v>
      </c>
      <c r="J186" s="405" t="s">
        <v>50</v>
      </c>
      <c r="K186" s="401" t="s">
        <v>255</v>
      </c>
      <c r="L186" s="401" t="s">
        <v>255</v>
      </c>
      <c r="M186" s="401" t="s">
        <v>255</v>
      </c>
      <c r="N186" s="401"/>
      <c r="O186" s="401"/>
      <c r="P186" s="401"/>
    </row>
    <row r="187" spans="1:16" s="136" customFormat="1" ht="18.75" hidden="1" customHeight="1">
      <c r="A187" s="401"/>
      <c r="B187" s="401"/>
      <c r="C187" s="622"/>
      <c r="D187" s="454"/>
      <c r="E187" s="454"/>
      <c r="F187" s="404"/>
      <c r="G187" s="756" t="str">
        <f>C186</f>
        <v>9/11</v>
      </c>
      <c r="H187" s="457">
        <v>431.548</v>
      </c>
      <c r="I187" s="410"/>
      <c r="J187" s="407"/>
      <c r="K187" s="401"/>
      <c r="L187" s="401"/>
      <c r="M187" s="401"/>
      <c r="N187" s="401"/>
      <c r="O187" s="401"/>
      <c r="P187" s="401"/>
    </row>
    <row r="188" spans="1:16" s="136" customFormat="1" ht="18.75" customHeight="1">
      <c r="A188" s="401">
        <f>SUBTOTAL(103,$C$6:C188)</f>
        <v>92</v>
      </c>
      <c r="B188" s="402" t="s">
        <v>547</v>
      </c>
      <c r="C188" s="407" t="s">
        <v>264</v>
      </c>
      <c r="D188" s="623" t="s">
        <v>227</v>
      </c>
      <c r="E188" s="623"/>
      <c r="F188" s="404"/>
      <c r="G188" s="403"/>
      <c r="H188" s="459"/>
      <c r="I188" s="410">
        <f>ROUND(H187/1000,4)+I186</f>
        <v>35.746300000000012</v>
      </c>
      <c r="J188" s="405" t="s">
        <v>50</v>
      </c>
      <c r="K188" s="401" t="s">
        <v>255</v>
      </c>
      <c r="L188" s="401" t="s">
        <v>255</v>
      </c>
      <c r="M188" s="401" t="s">
        <v>255</v>
      </c>
      <c r="N188" s="401"/>
      <c r="O188" s="401"/>
      <c r="P188" s="401"/>
    </row>
    <row r="189" spans="1:16" s="136" customFormat="1" ht="18.75" hidden="1" customHeight="1">
      <c r="A189" s="401"/>
      <c r="B189" s="401"/>
      <c r="C189" s="622"/>
      <c r="D189" s="454"/>
      <c r="E189" s="454"/>
      <c r="F189" s="404"/>
      <c r="G189" s="756" t="str">
        <f>C188</f>
        <v>10/0</v>
      </c>
      <c r="H189" s="457">
        <v>363.452</v>
      </c>
      <c r="I189" s="410"/>
      <c r="J189" s="407"/>
      <c r="K189" s="401"/>
      <c r="L189" s="401"/>
      <c r="M189" s="401"/>
      <c r="N189" s="401"/>
      <c r="O189" s="401"/>
      <c r="P189" s="401"/>
    </row>
    <row r="190" spans="1:16" s="136" customFormat="1" ht="18.75" customHeight="1">
      <c r="A190" s="401">
        <f>SUBTOTAL(103,$C$6:C190)</f>
        <v>93</v>
      </c>
      <c r="B190" s="401"/>
      <c r="C190" s="407" t="s">
        <v>413</v>
      </c>
      <c r="D190" s="623" t="s">
        <v>2</v>
      </c>
      <c r="E190" s="623"/>
      <c r="F190" s="409"/>
      <c r="G190" s="401"/>
      <c r="H190" s="459"/>
      <c r="I190" s="410">
        <f>ROUND(H189/1000,4)+I188</f>
        <v>36.109800000000014</v>
      </c>
      <c r="J190" s="405" t="s">
        <v>50</v>
      </c>
      <c r="K190" s="401" t="s">
        <v>255</v>
      </c>
      <c r="L190" s="401" t="s">
        <v>255</v>
      </c>
      <c r="M190" s="401" t="s">
        <v>255</v>
      </c>
      <c r="N190" s="401"/>
      <c r="O190" s="401"/>
      <c r="P190" s="401"/>
    </row>
    <row r="191" spans="1:16" s="136" customFormat="1" ht="18.75" hidden="1" customHeight="1">
      <c r="A191" s="401"/>
      <c r="B191" s="401"/>
      <c r="C191" s="622"/>
      <c r="D191" s="454"/>
      <c r="E191" s="454"/>
      <c r="F191" s="404"/>
      <c r="G191" s="756" t="str">
        <f>C190</f>
        <v>10/1</v>
      </c>
      <c r="H191" s="457">
        <v>295</v>
      </c>
      <c r="I191" s="410"/>
      <c r="J191" s="407"/>
      <c r="K191" s="401"/>
      <c r="L191" s="401"/>
      <c r="M191" s="401"/>
      <c r="N191" s="401"/>
      <c r="O191" s="401"/>
      <c r="P191" s="401"/>
    </row>
    <row r="192" spans="1:16" s="136" customFormat="1" ht="18.75" customHeight="1">
      <c r="A192" s="401">
        <f>SUBTOTAL(103,$C$6:C192)</f>
        <v>94</v>
      </c>
      <c r="B192" s="401"/>
      <c r="C192" s="407" t="s">
        <v>414</v>
      </c>
      <c r="D192" s="623" t="s">
        <v>2</v>
      </c>
      <c r="E192" s="623"/>
      <c r="F192" s="409"/>
      <c r="G192" s="401"/>
      <c r="H192" s="459"/>
      <c r="I192" s="410">
        <f>ROUND(H191/1000,4)+I190</f>
        <v>36.404800000000016</v>
      </c>
      <c r="J192" s="405" t="s">
        <v>50</v>
      </c>
      <c r="K192" s="401" t="s">
        <v>255</v>
      </c>
      <c r="L192" s="401" t="s">
        <v>255</v>
      </c>
      <c r="M192" s="401" t="s">
        <v>255</v>
      </c>
      <c r="N192" s="401"/>
      <c r="O192" s="401"/>
      <c r="P192" s="401"/>
    </row>
    <row r="193" spans="1:16" s="136" customFormat="1" ht="18.75" hidden="1" customHeight="1">
      <c r="A193" s="401"/>
      <c r="B193" s="401"/>
      <c r="C193" s="622"/>
      <c r="D193" s="454"/>
      <c r="E193" s="454"/>
      <c r="F193" s="404"/>
      <c r="G193" s="756" t="str">
        <f>C192</f>
        <v>10/2</v>
      </c>
      <c r="H193" s="457">
        <v>345.73099999999999</v>
      </c>
      <c r="I193" s="410"/>
      <c r="J193" s="407"/>
      <c r="K193" s="401"/>
      <c r="L193" s="401"/>
      <c r="M193" s="401"/>
      <c r="N193" s="401"/>
      <c r="O193" s="401"/>
      <c r="P193" s="401"/>
    </row>
    <row r="194" spans="1:16" s="136" customFormat="1" ht="18.75" customHeight="1">
      <c r="A194" s="401">
        <f>SUBTOTAL(103,$C$6:C194)</f>
        <v>95</v>
      </c>
      <c r="B194" s="402" t="s">
        <v>548</v>
      </c>
      <c r="C194" s="407" t="s">
        <v>265</v>
      </c>
      <c r="D194" s="623" t="s">
        <v>178</v>
      </c>
      <c r="E194" s="623"/>
      <c r="F194" s="404"/>
      <c r="G194" s="403"/>
      <c r="H194" s="459"/>
      <c r="I194" s="410">
        <f>ROUND(H193/1000,4)+I192</f>
        <v>36.750500000000017</v>
      </c>
      <c r="J194" s="413" t="s">
        <v>50</v>
      </c>
      <c r="K194" s="401" t="s">
        <v>255</v>
      </c>
      <c r="L194" s="401" t="s">
        <v>255</v>
      </c>
      <c r="M194" s="401" t="s">
        <v>255</v>
      </c>
      <c r="N194" s="401"/>
      <c r="O194" s="401"/>
      <c r="P194" s="401"/>
    </row>
    <row r="195" spans="1:16" s="136" customFormat="1" ht="18.75" hidden="1" customHeight="1">
      <c r="A195" s="401"/>
      <c r="B195" s="401"/>
      <c r="C195" s="622"/>
      <c r="D195" s="454"/>
      <c r="E195" s="454"/>
      <c r="F195" s="404"/>
      <c r="G195" s="756" t="str">
        <f>C194</f>
        <v>11/0</v>
      </c>
      <c r="H195" s="457">
        <v>242.89</v>
      </c>
      <c r="I195" s="410"/>
      <c r="J195" s="407"/>
      <c r="K195" s="401"/>
      <c r="L195" s="401"/>
      <c r="M195" s="401"/>
      <c r="N195" s="401"/>
      <c r="O195" s="401"/>
      <c r="P195" s="401" t="s">
        <v>965</v>
      </c>
    </row>
    <row r="196" spans="1:16" s="136" customFormat="1" ht="18.75" customHeight="1">
      <c r="A196" s="401">
        <f>SUBTOTAL(103,$C$6:C196)</f>
        <v>96</v>
      </c>
      <c r="B196" s="402" t="s">
        <v>549</v>
      </c>
      <c r="C196" s="407" t="s">
        <v>266</v>
      </c>
      <c r="D196" s="623" t="s">
        <v>211</v>
      </c>
      <c r="E196" s="623"/>
      <c r="F196" s="404"/>
      <c r="G196" s="403"/>
      <c r="H196" s="459"/>
      <c r="I196" s="410">
        <f>ROUND(H195/1000,4)+I194</f>
        <v>36.993400000000015</v>
      </c>
      <c r="J196" s="413" t="s">
        <v>50</v>
      </c>
      <c r="K196" s="401" t="s">
        <v>255</v>
      </c>
      <c r="L196" s="401" t="s">
        <v>255</v>
      </c>
      <c r="M196" s="401" t="s">
        <v>255</v>
      </c>
      <c r="N196" s="401"/>
      <c r="O196" s="401" t="s">
        <v>964</v>
      </c>
      <c r="P196" s="401"/>
    </row>
    <row r="197" spans="1:16" s="136" customFormat="1" ht="18.75" hidden="1" customHeight="1">
      <c r="A197" s="401"/>
      <c r="B197" s="401"/>
      <c r="C197" s="622"/>
      <c r="D197" s="454"/>
      <c r="E197" s="454"/>
      <c r="F197" s="404"/>
      <c r="G197" s="756" t="str">
        <f>C196</f>
        <v>12/0</v>
      </c>
      <c r="H197" s="457">
        <v>329.73</v>
      </c>
      <c r="I197" s="410"/>
      <c r="J197" s="407"/>
      <c r="K197" s="401"/>
      <c r="L197" s="401"/>
      <c r="M197" s="401"/>
      <c r="N197" s="401"/>
      <c r="O197" s="401"/>
      <c r="P197" s="401" t="s">
        <v>966</v>
      </c>
    </row>
    <row r="198" spans="1:16" s="136" customFormat="1" ht="18.75" customHeight="1">
      <c r="A198" s="401">
        <f>SUBTOTAL(103,$C$6:C198)</f>
        <v>97</v>
      </c>
      <c r="B198" s="402" t="s">
        <v>550</v>
      </c>
      <c r="C198" s="407" t="s">
        <v>267</v>
      </c>
      <c r="D198" s="623" t="s">
        <v>209</v>
      </c>
      <c r="E198" s="623"/>
      <c r="F198" s="404"/>
      <c r="G198" s="403"/>
      <c r="H198" s="459"/>
      <c r="I198" s="410">
        <f>ROUND(H197/1000,4)+I196</f>
        <v>37.323100000000018</v>
      </c>
      <c r="J198" s="413" t="s">
        <v>50</v>
      </c>
      <c r="K198" s="401" t="s">
        <v>255</v>
      </c>
      <c r="L198" s="401" t="s">
        <v>255</v>
      </c>
      <c r="M198" s="401" t="s">
        <v>255</v>
      </c>
      <c r="N198" s="401"/>
      <c r="O198" s="401" t="s">
        <v>964</v>
      </c>
      <c r="P198" s="401"/>
    </row>
    <row r="199" spans="1:16" s="136" customFormat="1" ht="18.75" hidden="1" customHeight="1">
      <c r="A199" s="401"/>
      <c r="B199" s="401"/>
      <c r="C199" s="622"/>
      <c r="D199" s="454"/>
      <c r="E199" s="454"/>
      <c r="F199" s="404"/>
      <c r="G199" s="756" t="str">
        <f>C198</f>
        <v>13/0</v>
      </c>
      <c r="H199" s="457">
        <v>416.88</v>
      </c>
      <c r="I199" s="410"/>
      <c r="J199" s="407"/>
      <c r="K199" s="401"/>
      <c r="L199" s="401"/>
      <c r="M199" s="401"/>
      <c r="N199" s="401"/>
      <c r="O199" s="401"/>
      <c r="P199" s="401"/>
    </row>
    <row r="200" spans="1:16" s="136" customFormat="1" ht="18.75" customHeight="1">
      <c r="A200" s="401">
        <f>SUBTOTAL(103,$C$6:C200)</f>
        <v>98</v>
      </c>
      <c r="B200" s="402" t="s">
        <v>656</v>
      </c>
      <c r="C200" s="407" t="s">
        <v>485</v>
      </c>
      <c r="D200" s="623" t="s">
        <v>211</v>
      </c>
      <c r="E200" s="623"/>
      <c r="F200" s="409"/>
      <c r="G200" s="401"/>
      <c r="H200" s="459"/>
      <c r="I200" s="410">
        <f>ROUND(H199/1000,4)+I198</f>
        <v>37.740000000000016</v>
      </c>
      <c r="J200" s="405" t="s">
        <v>50</v>
      </c>
      <c r="K200" s="401" t="s">
        <v>255</v>
      </c>
      <c r="L200" s="401" t="s">
        <v>255</v>
      </c>
      <c r="M200" s="401" t="s">
        <v>255</v>
      </c>
      <c r="N200" s="401"/>
      <c r="O200" s="401"/>
      <c r="P200" s="401"/>
    </row>
    <row r="201" spans="1:16" s="136" customFormat="1" ht="18.75" hidden="1" customHeight="1">
      <c r="A201" s="401"/>
      <c r="B201" s="401"/>
      <c r="C201" s="622"/>
      <c r="D201" s="454"/>
      <c r="E201" s="454"/>
      <c r="F201" s="404"/>
      <c r="G201" s="756" t="str">
        <f>C200</f>
        <v>13A/0</v>
      </c>
      <c r="H201" s="457">
        <v>480.27</v>
      </c>
      <c r="I201" s="410"/>
      <c r="J201" s="407"/>
      <c r="K201" s="401"/>
      <c r="L201" s="401"/>
      <c r="M201" s="401"/>
      <c r="N201" s="401"/>
      <c r="O201" s="401"/>
      <c r="P201" s="401"/>
    </row>
    <row r="202" spans="1:16" s="136" customFormat="1" ht="18.75" customHeight="1">
      <c r="A202" s="401">
        <f>SUBTOTAL(103,$C$6:C202)</f>
        <v>99</v>
      </c>
      <c r="B202" s="402" t="s">
        <v>551</v>
      </c>
      <c r="C202" s="407" t="s">
        <v>11</v>
      </c>
      <c r="D202" s="623" t="s">
        <v>186</v>
      </c>
      <c r="E202" s="623"/>
      <c r="F202" s="404">
        <v>2</v>
      </c>
      <c r="G202" s="403"/>
      <c r="H202" s="459"/>
      <c r="I202" s="410">
        <f>ROUND(H201/1000,4)+I200</f>
        <v>38.220300000000016</v>
      </c>
      <c r="J202" s="413" t="s">
        <v>50</v>
      </c>
      <c r="K202" s="401" t="s">
        <v>255</v>
      </c>
      <c r="L202" s="401" t="s">
        <v>255</v>
      </c>
      <c r="M202" s="401" t="s">
        <v>255</v>
      </c>
      <c r="N202" s="401"/>
      <c r="O202" s="401"/>
      <c r="P202" s="401"/>
    </row>
    <row r="203" spans="1:16" s="136" customFormat="1" ht="18.75" hidden="1" customHeight="1">
      <c r="A203" s="401"/>
      <c r="B203" s="401"/>
      <c r="C203" s="622"/>
      <c r="D203" s="454"/>
      <c r="E203" s="454"/>
      <c r="F203" s="404"/>
      <c r="G203" s="756" t="str">
        <f>C202</f>
        <v>14/0</v>
      </c>
      <c r="H203" s="457">
        <v>223.82</v>
      </c>
      <c r="I203" s="410"/>
      <c r="J203" s="407"/>
      <c r="K203" s="401"/>
      <c r="L203" s="401"/>
      <c r="M203" s="401"/>
      <c r="N203" s="401"/>
      <c r="O203" s="401"/>
      <c r="P203" s="401" t="s">
        <v>967</v>
      </c>
    </row>
    <row r="204" spans="1:16" s="136" customFormat="1" ht="18.75" customHeight="1">
      <c r="A204" s="401">
        <f>SUBTOTAL(103,$C$5:C205)</f>
        <v>100</v>
      </c>
      <c r="B204" s="402" t="s">
        <v>552</v>
      </c>
      <c r="C204" s="407" t="s">
        <v>167</v>
      </c>
      <c r="D204" s="623" t="s">
        <v>218</v>
      </c>
      <c r="E204" s="623"/>
      <c r="F204" s="404"/>
      <c r="G204" s="403"/>
      <c r="H204" s="459"/>
      <c r="I204" s="410">
        <f>ROUND(H203/1000,4)+I202</f>
        <v>38.444100000000013</v>
      </c>
      <c r="J204" s="413" t="s">
        <v>50</v>
      </c>
      <c r="K204" s="401" t="s">
        <v>255</v>
      </c>
      <c r="L204" s="401" t="s">
        <v>255</v>
      </c>
      <c r="M204" s="401" t="s">
        <v>255</v>
      </c>
      <c r="N204" s="401"/>
      <c r="O204" s="401" t="s">
        <v>964</v>
      </c>
      <c r="P204" s="401"/>
    </row>
    <row r="205" spans="1:16" s="136" customFormat="1" ht="18.75" hidden="1" customHeight="1">
      <c r="A205" s="401"/>
      <c r="B205" s="401"/>
      <c r="C205" s="622"/>
      <c r="D205" s="454"/>
      <c r="E205" s="454"/>
      <c r="F205" s="404"/>
      <c r="G205" s="756" t="str">
        <f>C204</f>
        <v>15/0</v>
      </c>
      <c r="H205" s="456">
        <v>405.91500000000002</v>
      </c>
      <c r="I205" s="410"/>
      <c r="J205" s="407"/>
      <c r="K205" s="401"/>
      <c r="L205" s="401"/>
      <c r="M205" s="401"/>
      <c r="N205" s="401"/>
      <c r="O205" s="401"/>
      <c r="P205" s="401"/>
    </row>
    <row r="206" spans="1:16" s="136" customFormat="1" ht="18.75" customHeight="1">
      <c r="A206" s="401">
        <f>SUBTOTAL(103,$C$6:C206)</f>
        <v>101</v>
      </c>
      <c r="B206" s="401"/>
      <c r="C206" s="407" t="s">
        <v>308</v>
      </c>
      <c r="D206" s="623" t="s">
        <v>79</v>
      </c>
      <c r="E206" s="623"/>
      <c r="F206" s="409"/>
      <c r="G206" s="401"/>
      <c r="H206" s="458"/>
      <c r="I206" s="410">
        <f>ROUND(H205/1000,4)+I204</f>
        <v>38.850000000000016</v>
      </c>
      <c r="J206" s="405" t="s">
        <v>50</v>
      </c>
      <c r="K206" s="401" t="s">
        <v>255</v>
      </c>
      <c r="L206" s="401" t="s">
        <v>255</v>
      </c>
      <c r="M206" s="401" t="s">
        <v>255</v>
      </c>
      <c r="N206" s="401"/>
      <c r="O206" s="401"/>
      <c r="P206" s="401"/>
    </row>
    <row r="207" spans="1:16" s="136" customFormat="1" ht="18.75" hidden="1" customHeight="1">
      <c r="A207" s="401"/>
      <c r="B207" s="401"/>
      <c r="C207" s="622"/>
      <c r="D207" s="454"/>
      <c r="E207" s="454"/>
      <c r="F207" s="404"/>
      <c r="G207" s="756" t="str">
        <f>C206</f>
        <v>15/1</v>
      </c>
      <c r="H207" s="456">
        <v>405</v>
      </c>
      <c r="I207" s="410"/>
      <c r="J207" s="407"/>
      <c r="K207" s="401"/>
      <c r="L207" s="401"/>
      <c r="M207" s="401"/>
      <c r="N207" s="401"/>
      <c r="O207" s="401"/>
      <c r="P207" s="401"/>
    </row>
    <row r="208" spans="1:16" s="136" customFormat="1" ht="18.75" customHeight="1">
      <c r="A208" s="401">
        <f>SUBTOTAL(103,$C$6:C208)</f>
        <v>102</v>
      </c>
      <c r="B208" s="401"/>
      <c r="C208" s="407" t="s">
        <v>415</v>
      </c>
      <c r="D208" s="623" t="s">
        <v>2</v>
      </c>
      <c r="E208" s="623"/>
      <c r="F208" s="409"/>
      <c r="G208" s="401"/>
      <c r="H208" s="458"/>
      <c r="I208" s="410">
        <f>ROUND(H207/1000,4)+I206</f>
        <v>39.255000000000017</v>
      </c>
      <c r="J208" s="405" t="s">
        <v>50</v>
      </c>
      <c r="K208" s="401" t="s">
        <v>255</v>
      </c>
      <c r="L208" s="401" t="s">
        <v>255</v>
      </c>
      <c r="M208" s="401" t="s">
        <v>255</v>
      </c>
      <c r="N208" s="401" t="str">
        <f>VLOOKUP(C208,'Tack Welding'!$D$5:$J$94,7,0)</f>
        <v xml:space="preserve">Completed </v>
      </c>
      <c r="O208" s="401"/>
      <c r="P208" s="401"/>
    </row>
    <row r="209" spans="1:16" s="136" customFormat="1" ht="18.75" hidden="1" customHeight="1">
      <c r="A209" s="401"/>
      <c r="B209" s="401"/>
      <c r="C209" s="622"/>
      <c r="D209" s="454"/>
      <c r="E209" s="454"/>
      <c r="F209" s="404"/>
      <c r="G209" s="756" t="str">
        <f>C208</f>
        <v>15/2</v>
      </c>
      <c r="H209" s="456">
        <v>420</v>
      </c>
      <c r="I209" s="410"/>
      <c r="J209" s="407"/>
      <c r="K209" s="401"/>
      <c r="L209" s="401"/>
      <c r="M209" s="401"/>
      <c r="N209" s="401"/>
      <c r="O209" s="401"/>
      <c r="P209" s="401"/>
    </row>
    <row r="210" spans="1:16" s="136" customFormat="1" ht="18.75" customHeight="1">
      <c r="A210" s="401">
        <f>SUBTOTAL(103,$C$6:C210)</f>
        <v>103</v>
      </c>
      <c r="B210" s="401"/>
      <c r="C210" s="407" t="s">
        <v>416</v>
      </c>
      <c r="D210" s="623" t="s">
        <v>2</v>
      </c>
      <c r="E210" s="623"/>
      <c r="F210" s="409"/>
      <c r="G210" s="401"/>
      <c r="H210" s="458"/>
      <c r="I210" s="410">
        <f>ROUND(H209/1000,4)+I208</f>
        <v>39.675000000000018</v>
      </c>
      <c r="J210" s="405" t="s">
        <v>50</v>
      </c>
      <c r="K210" s="401" t="s">
        <v>255</v>
      </c>
      <c r="L210" s="401" t="s">
        <v>255</v>
      </c>
      <c r="M210" s="401" t="s">
        <v>255</v>
      </c>
      <c r="N210" s="401" t="str">
        <f>VLOOKUP(C210,'Tack Welding'!$D$5:$J$94,7,0)</f>
        <v xml:space="preserve">Completed </v>
      </c>
      <c r="O210" s="401"/>
      <c r="P210" s="401"/>
    </row>
    <row r="211" spans="1:16" s="136" customFormat="1" ht="18.75" hidden="1" customHeight="1">
      <c r="A211" s="401"/>
      <c r="B211" s="401"/>
      <c r="C211" s="622"/>
      <c r="D211" s="454"/>
      <c r="E211" s="454"/>
      <c r="F211" s="404"/>
      <c r="G211" s="756" t="str">
        <f>C210</f>
        <v>15/3</v>
      </c>
      <c r="H211" s="456">
        <v>415</v>
      </c>
      <c r="I211" s="410"/>
      <c r="J211" s="407"/>
      <c r="K211" s="401"/>
      <c r="L211" s="401"/>
      <c r="M211" s="401"/>
      <c r="N211" s="401"/>
      <c r="O211" s="401"/>
      <c r="P211" s="401"/>
    </row>
    <row r="212" spans="1:16" s="136" customFormat="1" ht="18.75" customHeight="1">
      <c r="A212" s="401">
        <f>SUBTOTAL(103,$C$6:C212)</f>
        <v>104</v>
      </c>
      <c r="B212" s="401"/>
      <c r="C212" s="407" t="s">
        <v>417</v>
      </c>
      <c r="D212" s="623" t="s">
        <v>79</v>
      </c>
      <c r="E212" s="623"/>
      <c r="F212" s="409"/>
      <c r="G212" s="401"/>
      <c r="H212" s="458"/>
      <c r="I212" s="410">
        <f>ROUND(H211/1000,4)+I210</f>
        <v>40.090000000000018</v>
      </c>
      <c r="J212" s="405" t="s">
        <v>50</v>
      </c>
      <c r="K212" s="401" t="s">
        <v>255</v>
      </c>
      <c r="L212" s="401" t="s">
        <v>255</v>
      </c>
      <c r="M212" s="401" t="s">
        <v>255</v>
      </c>
      <c r="N212" s="401"/>
      <c r="O212" s="401"/>
      <c r="P212" s="401"/>
    </row>
    <row r="213" spans="1:16" s="136" customFormat="1" ht="18.75" hidden="1" customHeight="1">
      <c r="A213" s="401"/>
      <c r="B213" s="401"/>
      <c r="C213" s="622"/>
      <c r="D213" s="454"/>
      <c r="E213" s="454"/>
      <c r="F213" s="404"/>
      <c r="G213" s="756" t="str">
        <f>C212</f>
        <v>15/4</v>
      </c>
      <c r="H213" s="456">
        <v>410</v>
      </c>
      <c r="I213" s="410"/>
      <c r="J213" s="407"/>
      <c r="K213" s="401"/>
      <c r="L213" s="401"/>
      <c r="M213" s="401"/>
      <c r="N213" s="401"/>
      <c r="O213" s="401"/>
      <c r="P213" s="401"/>
    </row>
    <row r="214" spans="1:16" s="136" customFormat="1" ht="18.75" customHeight="1">
      <c r="A214" s="401">
        <f>SUBTOTAL(103,$C$6:C214)</f>
        <v>105</v>
      </c>
      <c r="B214" s="401"/>
      <c r="C214" s="407" t="s">
        <v>418</v>
      </c>
      <c r="D214" s="623" t="s">
        <v>2</v>
      </c>
      <c r="E214" s="623"/>
      <c r="F214" s="409"/>
      <c r="G214" s="401"/>
      <c r="H214" s="458"/>
      <c r="I214" s="410">
        <f>ROUND(H213/1000,4)+I212</f>
        <v>40.500000000000014</v>
      </c>
      <c r="J214" s="405" t="s">
        <v>50</v>
      </c>
      <c r="K214" s="401" t="s">
        <v>255</v>
      </c>
      <c r="L214" s="401" t="s">
        <v>255</v>
      </c>
      <c r="M214" s="401" t="s">
        <v>255</v>
      </c>
      <c r="N214" s="401" t="str">
        <f>VLOOKUP(C214,'Tack Welding'!$D$5:$J$94,7,0)</f>
        <v xml:space="preserve">Completed </v>
      </c>
      <c r="O214" s="401"/>
      <c r="P214" s="401"/>
    </row>
    <row r="215" spans="1:16" s="136" customFormat="1" ht="18.75" hidden="1" customHeight="1">
      <c r="A215" s="401"/>
      <c r="B215" s="401"/>
      <c r="C215" s="622"/>
      <c r="D215" s="454"/>
      <c r="E215" s="454"/>
      <c r="F215" s="404"/>
      <c r="G215" s="756" t="str">
        <f>C214</f>
        <v>15/5</v>
      </c>
      <c r="H215" s="456">
        <v>285</v>
      </c>
      <c r="I215" s="410"/>
      <c r="J215" s="407"/>
      <c r="K215" s="401"/>
      <c r="L215" s="401"/>
      <c r="M215" s="401"/>
      <c r="N215" s="401"/>
      <c r="O215" s="401"/>
      <c r="P215" s="401"/>
    </row>
    <row r="216" spans="1:16" s="136" customFormat="1" ht="18.75" customHeight="1">
      <c r="A216" s="401">
        <f>SUBTOTAL(103,$C$6:C216)</f>
        <v>106</v>
      </c>
      <c r="B216" s="401"/>
      <c r="C216" s="407" t="s">
        <v>419</v>
      </c>
      <c r="D216" s="623" t="s">
        <v>49</v>
      </c>
      <c r="E216" s="623"/>
      <c r="F216" s="409"/>
      <c r="G216" s="401"/>
      <c r="H216" s="458"/>
      <c r="I216" s="410">
        <f>ROUND(H215/1000,4)+I214</f>
        <v>40.785000000000011</v>
      </c>
      <c r="J216" s="405" t="s">
        <v>50</v>
      </c>
      <c r="K216" s="401" t="s">
        <v>255</v>
      </c>
      <c r="L216" s="401" t="s">
        <v>255</v>
      </c>
      <c r="M216" s="401" t="s">
        <v>255</v>
      </c>
      <c r="N216" s="401" t="str">
        <f>VLOOKUP(C216,'Tack Welding'!$D$5:$J$94,7,0)</f>
        <v xml:space="preserve">Completed </v>
      </c>
      <c r="O216" s="401"/>
      <c r="P216" s="401"/>
    </row>
    <row r="217" spans="1:16" s="136" customFormat="1" ht="18.75" hidden="1" customHeight="1">
      <c r="A217" s="401"/>
      <c r="B217" s="401"/>
      <c r="C217" s="622"/>
      <c r="D217" s="454"/>
      <c r="E217" s="454"/>
      <c r="F217" s="404"/>
      <c r="G217" s="756" t="str">
        <f>C216</f>
        <v>15/6</v>
      </c>
      <c r="H217" s="456">
        <v>355</v>
      </c>
      <c r="I217" s="410"/>
      <c r="J217" s="407"/>
      <c r="K217" s="401"/>
      <c r="L217" s="401"/>
      <c r="M217" s="401"/>
      <c r="N217" s="401"/>
      <c r="O217" s="401"/>
      <c r="P217" s="401"/>
    </row>
    <row r="218" spans="1:16" s="136" customFormat="1" ht="18.75" customHeight="1">
      <c r="A218" s="401">
        <f>SUBTOTAL(103,$C$6:C218)</f>
        <v>107</v>
      </c>
      <c r="B218" s="401"/>
      <c r="C218" s="407" t="s">
        <v>420</v>
      </c>
      <c r="D218" s="623" t="s">
        <v>3</v>
      </c>
      <c r="E218" s="623"/>
      <c r="F218" s="409"/>
      <c r="G218" s="401"/>
      <c r="H218" s="458"/>
      <c r="I218" s="410">
        <f>ROUND(H217/1000,4)+I216</f>
        <v>41.140000000000008</v>
      </c>
      <c r="J218" s="405" t="s">
        <v>50</v>
      </c>
      <c r="K218" s="401" t="s">
        <v>255</v>
      </c>
      <c r="L218" s="401" t="s">
        <v>255</v>
      </c>
      <c r="M218" s="401" t="s">
        <v>255</v>
      </c>
      <c r="N218" s="401"/>
      <c r="O218" s="401"/>
      <c r="P218" s="401"/>
    </row>
    <row r="219" spans="1:16" s="136" customFormat="1" ht="18.75" hidden="1" customHeight="1">
      <c r="A219" s="401"/>
      <c r="B219" s="401"/>
      <c r="C219" s="622"/>
      <c r="D219" s="454"/>
      <c r="E219" s="454"/>
      <c r="F219" s="404"/>
      <c r="G219" s="756" t="str">
        <f>C218</f>
        <v>15/7</v>
      </c>
      <c r="H219" s="456">
        <v>355</v>
      </c>
      <c r="I219" s="410"/>
      <c r="J219" s="407"/>
      <c r="K219" s="401"/>
      <c r="L219" s="401"/>
      <c r="M219" s="401"/>
      <c r="N219" s="401"/>
      <c r="O219" s="401"/>
      <c r="P219" s="401"/>
    </row>
    <row r="220" spans="1:16" s="136" customFormat="1" ht="18.75" customHeight="1">
      <c r="A220" s="401">
        <f>SUBTOTAL(103,$C$6:C220)</f>
        <v>108</v>
      </c>
      <c r="B220" s="401"/>
      <c r="C220" s="407" t="s">
        <v>421</v>
      </c>
      <c r="D220" s="623" t="s">
        <v>170</v>
      </c>
      <c r="E220" s="623"/>
      <c r="F220" s="409"/>
      <c r="G220" s="401"/>
      <c r="H220" s="458"/>
      <c r="I220" s="410">
        <f>ROUND(H219/1000,4)+I218</f>
        <v>41.495000000000005</v>
      </c>
      <c r="J220" s="405" t="s">
        <v>50</v>
      </c>
      <c r="K220" s="401" t="s">
        <v>255</v>
      </c>
      <c r="L220" s="401" t="s">
        <v>255</v>
      </c>
      <c r="M220" s="401" t="s">
        <v>255</v>
      </c>
      <c r="N220" s="401"/>
      <c r="O220" s="401"/>
      <c r="P220" s="401"/>
    </row>
    <row r="221" spans="1:16" s="136" customFormat="1" ht="18.75" hidden="1" customHeight="1">
      <c r="A221" s="401"/>
      <c r="B221" s="401"/>
      <c r="C221" s="622"/>
      <c r="D221" s="454"/>
      <c r="E221" s="454"/>
      <c r="F221" s="404"/>
      <c r="G221" s="756" t="str">
        <f>C220</f>
        <v>15/8</v>
      </c>
      <c r="H221" s="456">
        <v>410</v>
      </c>
      <c r="I221" s="410"/>
      <c r="J221" s="407"/>
      <c r="K221" s="401"/>
      <c r="L221" s="401"/>
      <c r="M221" s="401"/>
      <c r="N221" s="401"/>
      <c r="O221" s="401"/>
      <c r="P221" s="401"/>
    </row>
    <row r="222" spans="1:16" s="136" customFormat="1" ht="18.75" customHeight="1">
      <c r="A222" s="401">
        <f>SUBTOTAL(103,$C$6:C222)</f>
        <v>109</v>
      </c>
      <c r="B222" s="401"/>
      <c r="C222" s="407" t="s">
        <v>422</v>
      </c>
      <c r="D222" s="623" t="s">
        <v>3</v>
      </c>
      <c r="E222" s="623"/>
      <c r="F222" s="409"/>
      <c r="G222" s="401"/>
      <c r="H222" s="458"/>
      <c r="I222" s="410">
        <f>ROUND(H221/1000,4)+I220</f>
        <v>41.905000000000001</v>
      </c>
      <c r="J222" s="405" t="s">
        <v>50</v>
      </c>
      <c r="K222" s="401" t="s">
        <v>255</v>
      </c>
      <c r="L222" s="401" t="s">
        <v>255</v>
      </c>
      <c r="M222" s="401" t="s">
        <v>255</v>
      </c>
      <c r="N222" s="401"/>
      <c r="O222" s="401"/>
      <c r="P222" s="401"/>
    </row>
    <row r="223" spans="1:16" s="136" customFormat="1" ht="18.75" hidden="1" customHeight="1">
      <c r="A223" s="401"/>
      <c r="B223" s="401"/>
      <c r="C223" s="622"/>
      <c r="D223" s="454"/>
      <c r="E223" s="454"/>
      <c r="F223" s="404"/>
      <c r="G223" s="756" t="str">
        <f>C222</f>
        <v>15/9</v>
      </c>
      <c r="H223" s="456">
        <v>430</v>
      </c>
      <c r="I223" s="410"/>
      <c r="J223" s="407"/>
      <c r="K223" s="401"/>
      <c r="L223" s="401"/>
      <c r="M223" s="401"/>
      <c r="N223" s="401"/>
      <c r="O223" s="401"/>
      <c r="P223" s="401"/>
    </row>
    <row r="224" spans="1:16" s="136" customFormat="1" ht="18.75" customHeight="1">
      <c r="A224" s="401">
        <f>SUBTOTAL(103,$C$6:C224)</f>
        <v>110</v>
      </c>
      <c r="B224" s="401"/>
      <c r="C224" s="407" t="s">
        <v>423</v>
      </c>
      <c r="D224" s="623" t="s">
        <v>154</v>
      </c>
      <c r="E224" s="623"/>
      <c r="F224" s="409"/>
      <c r="G224" s="401"/>
      <c r="H224" s="458"/>
      <c r="I224" s="410">
        <f>ROUND(H223/1000,4)+I222</f>
        <v>42.335000000000001</v>
      </c>
      <c r="J224" s="405" t="s">
        <v>50</v>
      </c>
      <c r="K224" s="401" t="s">
        <v>255</v>
      </c>
      <c r="L224" s="401" t="s">
        <v>255</v>
      </c>
      <c r="M224" s="401" t="s">
        <v>255</v>
      </c>
      <c r="N224" s="401"/>
      <c r="O224" s="401"/>
      <c r="P224" s="401"/>
    </row>
    <row r="225" spans="1:16" s="136" customFormat="1" ht="18.75" hidden="1" customHeight="1">
      <c r="A225" s="401"/>
      <c r="B225" s="401"/>
      <c r="C225" s="622"/>
      <c r="D225" s="454"/>
      <c r="E225" s="454"/>
      <c r="F225" s="404"/>
      <c r="G225" s="756" t="str">
        <f>C224</f>
        <v>15/10</v>
      </c>
      <c r="H225" s="456">
        <v>385</v>
      </c>
      <c r="I225" s="410"/>
      <c r="J225" s="407"/>
      <c r="K225" s="401"/>
      <c r="L225" s="401"/>
      <c r="M225" s="401"/>
      <c r="N225" s="401"/>
      <c r="O225" s="401"/>
      <c r="P225" s="401"/>
    </row>
    <row r="226" spans="1:16" s="136" customFormat="1" ht="18.75" customHeight="1">
      <c r="A226" s="401">
        <f>SUBTOTAL(103,$C$6:C226)</f>
        <v>111</v>
      </c>
      <c r="B226" s="401"/>
      <c r="C226" s="407" t="s">
        <v>424</v>
      </c>
      <c r="D226" s="623" t="s">
        <v>3</v>
      </c>
      <c r="E226" s="623"/>
      <c r="F226" s="409"/>
      <c r="G226" s="401"/>
      <c r="H226" s="458"/>
      <c r="I226" s="410">
        <f>ROUND(H225/1000,4)+I224</f>
        <v>42.72</v>
      </c>
      <c r="J226" s="405" t="s">
        <v>50</v>
      </c>
      <c r="K226" s="401" t="s">
        <v>255</v>
      </c>
      <c r="L226" s="401" t="s">
        <v>255</v>
      </c>
      <c r="M226" s="401" t="s">
        <v>255</v>
      </c>
      <c r="N226" s="401"/>
      <c r="O226" s="401"/>
      <c r="P226" s="401"/>
    </row>
    <row r="227" spans="1:16" s="136" customFormat="1" ht="18.75" hidden="1" customHeight="1">
      <c r="A227" s="401"/>
      <c r="B227" s="401"/>
      <c r="C227" s="622"/>
      <c r="D227" s="454"/>
      <c r="E227" s="454"/>
      <c r="F227" s="404"/>
      <c r="G227" s="756" t="str">
        <f>C226</f>
        <v>15/11</v>
      </c>
      <c r="H227" s="456">
        <v>455</v>
      </c>
      <c r="I227" s="410"/>
      <c r="J227" s="407"/>
      <c r="K227" s="401"/>
      <c r="L227" s="401"/>
      <c r="M227" s="401"/>
      <c r="N227" s="401"/>
      <c r="O227" s="401"/>
      <c r="P227" s="401"/>
    </row>
    <row r="228" spans="1:16" s="136" customFormat="1" ht="18.75" customHeight="1">
      <c r="A228" s="401">
        <f>SUBTOTAL(103,$C$6:C228)</f>
        <v>112</v>
      </c>
      <c r="B228" s="401"/>
      <c r="C228" s="407" t="s">
        <v>425</v>
      </c>
      <c r="D228" s="623" t="s">
        <v>79</v>
      </c>
      <c r="E228" s="623"/>
      <c r="F228" s="409"/>
      <c r="G228" s="401"/>
      <c r="H228" s="458"/>
      <c r="I228" s="410">
        <f>ROUND(H227/1000,4)+I226</f>
        <v>43.174999999999997</v>
      </c>
      <c r="J228" s="405" t="s">
        <v>50</v>
      </c>
      <c r="K228" s="401" t="s">
        <v>255</v>
      </c>
      <c r="L228" s="401" t="s">
        <v>255</v>
      </c>
      <c r="M228" s="401" t="s">
        <v>255</v>
      </c>
      <c r="N228" s="401"/>
      <c r="O228" s="401"/>
      <c r="P228" s="401"/>
    </row>
    <row r="229" spans="1:16" s="136" customFormat="1" ht="18.75" hidden="1" customHeight="1">
      <c r="A229" s="401"/>
      <c r="B229" s="401"/>
      <c r="C229" s="622"/>
      <c r="D229" s="454"/>
      <c r="E229" s="454"/>
      <c r="F229" s="404"/>
      <c r="G229" s="756" t="str">
        <f>C228</f>
        <v>15/12</v>
      </c>
      <c r="H229" s="456">
        <v>288.42500000000001</v>
      </c>
      <c r="I229" s="410"/>
      <c r="J229" s="407"/>
      <c r="K229" s="401"/>
      <c r="L229" s="401"/>
      <c r="M229" s="401"/>
      <c r="N229" s="401"/>
      <c r="O229" s="401"/>
      <c r="P229" s="401"/>
    </row>
    <row r="230" spans="1:16" s="136" customFormat="1" ht="18.75" customHeight="1">
      <c r="A230" s="401">
        <f>SUBTOTAL(103,$C$6:C230)</f>
        <v>113</v>
      </c>
      <c r="B230" s="402" t="s">
        <v>553</v>
      </c>
      <c r="C230" s="407" t="s">
        <v>12</v>
      </c>
      <c r="D230" s="623" t="s">
        <v>173</v>
      </c>
      <c r="E230" s="623"/>
      <c r="F230" s="404"/>
      <c r="G230" s="403"/>
      <c r="H230" s="459"/>
      <c r="I230" s="410">
        <f>ROUND(H229/1000,4)+I228</f>
        <v>43.4634</v>
      </c>
      <c r="J230" s="405" t="s">
        <v>50</v>
      </c>
      <c r="K230" s="401" t="s">
        <v>255</v>
      </c>
      <c r="L230" s="401"/>
      <c r="M230" s="401" t="s">
        <v>255</v>
      </c>
      <c r="N230" s="401"/>
      <c r="O230" s="401"/>
      <c r="P230" s="401"/>
    </row>
    <row r="231" spans="1:16" s="136" customFormat="1" ht="18.75" hidden="1" customHeight="1">
      <c r="A231" s="401"/>
      <c r="B231" s="401"/>
      <c r="C231" s="622"/>
      <c r="D231" s="454"/>
      <c r="E231" s="454"/>
      <c r="F231" s="404"/>
      <c r="G231" s="756" t="str">
        <f>C230</f>
        <v>16/0</v>
      </c>
      <c r="H231" s="457">
        <v>392.69</v>
      </c>
      <c r="I231" s="410"/>
      <c r="J231" s="407"/>
      <c r="K231" s="401"/>
      <c r="L231" s="401"/>
      <c r="M231" s="401"/>
      <c r="N231" s="401"/>
      <c r="O231" s="401"/>
      <c r="P231" s="401" t="s">
        <v>968</v>
      </c>
    </row>
    <row r="232" spans="1:16" s="136" customFormat="1" ht="18.75" customHeight="1">
      <c r="A232" s="401">
        <f>SUBTOTAL(103,$C$6:C232)</f>
        <v>114</v>
      </c>
      <c r="B232" s="402" t="s">
        <v>554</v>
      </c>
      <c r="C232" s="407" t="s">
        <v>13</v>
      </c>
      <c r="D232" s="623" t="s">
        <v>217</v>
      </c>
      <c r="E232" s="623"/>
      <c r="F232" s="404"/>
      <c r="G232" s="403"/>
      <c r="H232" s="459"/>
      <c r="I232" s="410">
        <f>ROUND(H231/1000,4)+I230</f>
        <v>43.856099999999998</v>
      </c>
      <c r="J232" s="405" t="s">
        <v>50</v>
      </c>
      <c r="K232" s="401" t="s">
        <v>255</v>
      </c>
      <c r="L232" s="401" t="s">
        <v>255</v>
      </c>
      <c r="M232" s="401" t="s">
        <v>255</v>
      </c>
      <c r="N232" s="401"/>
      <c r="O232" s="401"/>
      <c r="P232" s="401"/>
    </row>
    <row r="233" spans="1:16" s="136" customFormat="1" ht="18.75" hidden="1" customHeight="1">
      <c r="A233" s="401"/>
      <c r="B233" s="401"/>
      <c r="C233" s="622"/>
      <c r="D233" s="454"/>
      <c r="E233" s="454"/>
      <c r="F233" s="404"/>
      <c r="G233" s="756" t="str">
        <f>C232</f>
        <v>17/0</v>
      </c>
      <c r="H233" s="457">
        <v>398.4</v>
      </c>
      <c r="I233" s="410"/>
      <c r="J233" s="407"/>
      <c r="K233" s="401"/>
      <c r="L233" s="401"/>
      <c r="M233" s="401"/>
      <c r="N233" s="401"/>
      <c r="O233" s="401"/>
      <c r="P233" s="401" t="s">
        <v>968</v>
      </c>
    </row>
    <row r="234" spans="1:16" s="136" customFormat="1" ht="18.75" customHeight="1">
      <c r="A234" s="401">
        <f>SUBTOTAL(103,$C$6:C234)</f>
        <v>115</v>
      </c>
      <c r="B234" s="402" t="s">
        <v>555</v>
      </c>
      <c r="C234" s="407" t="s">
        <v>51</v>
      </c>
      <c r="D234" s="623" t="s">
        <v>229</v>
      </c>
      <c r="E234" s="623"/>
      <c r="F234" s="404"/>
      <c r="G234" s="403"/>
      <c r="H234" s="459"/>
      <c r="I234" s="410">
        <f>ROUND(H233/1000,4)+I232</f>
        <v>44.2545</v>
      </c>
      <c r="J234" s="405" t="s">
        <v>50</v>
      </c>
      <c r="K234" s="401" t="s">
        <v>255</v>
      </c>
      <c r="L234" s="401" t="s">
        <v>255</v>
      </c>
      <c r="M234" s="401" t="s">
        <v>255</v>
      </c>
      <c r="N234" s="401"/>
      <c r="O234" s="401" t="s">
        <v>964</v>
      </c>
      <c r="P234" s="401"/>
    </row>
    <row r="235" spans="1:16" s="136" customFormat="1" ht="18.75" hidden="1" customHeight="1">
      <c r="A235" s="401"/>
      <c r="B235" s="401"/>
      <c r="C235" s="622"/>
      <c r="D235" s="454"/>
      <c r="E235" s="454"/>
      <c r="F235" s="404"/>
      <c r="G235" s="756" t="str">
        <f>C234</f>
        <v>18/0</v>
      </c>
      <c r="H235" s="457">
        <v>307.59500000000003</v>
      </c>
      <c r="I235" s="410"/>
      <c r="J235" s="407"/>
      <c r="K235" s="401"/>
      <c r="L235" s="401"/>
      <c r="M235" s="401"/>
      <c r="N235" s="401"/>
      <c r="O235" s="401"/>
      <c r="P235" s="401"/>
    </row>
    <row r="236" spans="1:16" s="136" customFormat="1" ht="18.75" customHeight="1">
      <c r="A236" s="401">
        <f>SUBTOTAL(103,$C$6:C236)</f>
        <v>116</v>
      </c>
      <c r="B236" s="401"/>
      <c r="C236" s="407" t="s">
        <v>192</v>
      </c>
      <c r="D236" s="623" t="s">
        <v>2</v>
      </c>
      <c r="E236" s="623"/>
      <c r="F236" s="409"/>
      <c r="G236" s="401"/>
      <c r="H236" s="459"/>
      <c r="I236" s="410">
        <f>ROUND(H235/1000,4)+I234</f>
        <v>44.562100000000001</v>
      </c>
      <c r="J236" s="405" t="s">
        <v>50</v>
      </c>
      <c r="K236" s="401" t="s">
        <v>255</v>
      </c>
      <c r="L236" s="401" t="s">
        <v>255</v>
      </c>
      <c r="M236" s="401" t="s">
        <v>255</v>
      </c>
      <c r="N236" s="401"/>
      <c r="O236" s="401"/>
      <c r="P236" s="401"/>
    </row>
    <row r="237" spans="1:16" s="136" customFormat="1" ht="18.75" hidden="1" customHeight="1">
      <c r="A237" s="401"/>
      <c r="B237" s="401"/>
      <c r="C237" s="622"/>
      <c r="D237" s="454"/>
      <c r="E237" s="454"/>
      <c r="F237" s="404"/>
      <c r="G237" s="756" t="str">
        <f>C236</f>
        <v>18/1</v>
      </c>
      <c r="H237" s="457">
        <v>390</v>
      </c>
      <c r="I237" s="410"/>
      <c r="J237" s="407"/>
      <c r="K237" s="401"/>
      <c r="L237" s="401"/>
      <c r="M237" s="401"/>
      <c r="N237" s="401"/>
      <c r="O237" s="401"/>
      <c r="P237" s="401"/>
    </row>
    <row r="238" spans="1:16" s="136" customFormat="1" ht="18.75" customHeight="1">
      <c r="A238" s="401">
        <f>SUBTOTAL(103,$C$6:C238)</f>
        <v>117</v>
      </c>
      <c r="B238" s="401"/>
      <c r="C238" s="407" t="s">
        <v>193</v>
      </c>
      <c r="D238" s="623" t="s">
        <v>170</v>
      </c>
      <c r="E238" s="623"/>
      <c r="F238" s="409"/>
      <c r="G238" s="401"/>
      <c r="H238" s="459"/>
      <c r="I238" s="410">
        <f>ROUND(H237/1000,4)+I236</f>
        <v>44.952100000000002</v>
      </c>
      <c r="J238" s="405" t="s">
        <v>50</v>
      </c>
      <c r="K238" s="401" t="s">
        <v>255</v>
      </c>
      <c r="L238" s="401" t="s">
        <v>255</v>
      </c>
      <c r="M238" s="401" t="s">
        <v>255</v>
      </c>
      <c r="N238" s="401"/>
      <c r="O238" s="401"/>
      <c r="P238" s="401"/>
    </row>
    <row r="239" spans="1:16" s="136" customFormat="1" ht="18.75" hidden="1" customHeight="1">
      <c r="A239" s="401"/>
      <c r="B239" s="401"/>
      <c r="C239" s="622"/>
      <c r="D239" s="454"/>
      <c r="E239" s="454"/>
      <c r="F239" s="404"/>
      <c r="G239" s="756" t="str">
        <f>C238</f>
        <v>18/2</v>
      </c>
      <c r="H239" s="457">
        <v>380</v>
      </c>
      <c r="I239" s="410"/>
      <c r="J239" s="407"/>
      <c r="K239" s="401"/>
      <c r="L239" s="401"/>
      <c r="M239" s="401"/>
      <c r="N239" s="401"/>
      <c r="O239" s="401"/>
      <c r="P239" s="401"/>
    </row>
    <row r="240" spans="1:16" s="136" customFormat="1" ht="18.75" customHeight="1">
      <c r="A240" s="401">
        <f>SUBTOTAL(103,$C$6:C240)</f>
        <v>118</v>
      </c>
      <c r="B240" s="401"/>
      <c r="C240" s="407" t="s">
        <v>254</v>
      </c>
      <c r="D240" s="623" t="s">
        <v>79</v>
      </c>
      <c r="E240" s="623"/>
      <c r="F240" s="409"/>
      <c r="G240" s="401"/>
      <c r="H240" s="459"/>
      <c r="I240" s="410">
        <f>ROUND(H239/1000,4)+I238</f>
        <v>45.332100000000004</v>
      </c>
      <c r="J240" s="405" t="s">
        <v>50</v>
      </c>
      <c r="K240" s="401" t="s">
        <v>255</v>
      </c>
      <c r="L240" s="401" t="s">
        <v>255</v>
      </c>
      <c r="M240" s="401" t="s">
        <v>255</v>
      </c>
      <c r="N240" s="401"/>
      <c r="O240" s="401"/>
      <c r="P240" s="401"/>
    </row>
    <row r="241" spans="1:16" s="136" customFormat="1" ht="18.75" hidden="1" customHeight="1">
      <c r="A241" s="401"/>
      <c r="B241" s="401"/>
      <c r="C241" s="622"/>
      <c r="D241" s="454"/>
      <c r="E241" s="454"/>
      <c r="F241" s="404"/>
      <c r="G241" s="756" t="str">
        <f>C240</f>
        <v>18/3</v>
      </c>
      <c r="H241" s="457">
        <v>405</v>
      </c>
      <c r="I241" s="410"/>
      <c r="J241" s="407"/>
      <c r="K241" s="401"/>
      <c r="L241" s="401"/>
      <c r="M241" s="401"/>
      <c r="N241" s="401"/>
      <c r="O241" s="401"/>
      <c r="P241" s="401"/>
    </row>
    <row r="242" spans="1:16" s="136" customFormat="1" ht="18.75" customHeight="1">
      <c r="A242" s="401">
        <f>SUBTOTAL(103,$C$6:C242)</f>
        <v>119</v>
      </c>
      <c r="B242" s="401"/>
      <c r="C242" s="407" t="s">
        <v>253</v>
      </c>
      <c r="D242" s="623" t="s">
        <v>4</v>
      </c>
      <c r="E242" s="623"/>
      <c r="F242" s="409"/>
      <c r="G242" s="401"/>
      <c r="H242" s="459"/>
      <c r="I242" s="410">
        <f>ROUND(H241/1000,4)+I240</f>
        <v>45.737100000000005</v>
      </c>
      <c r="J242" s="405" t="s">
        <v>50</v>
      </c>
      <c r="K242" s="401" t="s">
        <v>255</v>
      </c>
      <c r="L242" s="401" t="s">
        <v>255</v>
      </c>
      <c r="M242" s="401" t="s">
        <v>255</v>
      </c>
      <c r="N242" s="401"/>
      <c r="O242" s="401"/>
      <c r="P242" s="401"/>
    </row>
    <row r="243" spans="1:16" s="136" customFormat="1" ht="18.75" hidden="1" customHeight="1">
      <c r="A243" s="401"/>
      <c r="B243" s="401"/>
      <c r="C243" s="622"/>
      <c r="D243" s="454"/>
      <c r="E243" s="454"/>
      <c r="F243" s="404"/>
      <c r="G243" s="756" t="str">
        <f>C242</f>
        <v>18/4</v>
      </c>
      <c r="H243" s="457">
        <v>335</v>
      </c>
      <c r="I243" s="410"/>
      <c r="J243" s="407"/>
      <c r="K243" s="401"/>
      <c r="L243" s="401"/>
      <c r="M243" s="401"/>
      <c r="N243" s="401"/>
      <c r="O243" s="401"/>
      <c r="P243" s="401"/>
    </row>
    <row r="244" spans="1:16" s="136" customFormat="1" ht="18.75" customHeight="1">
      <c r="A244" s="401">
        <f>SUBTOTAL(103,$C$6:C244)</f>
        <v>120</v>
      </c>
      <c r="B244" s="401"/>
      <c r="C244" s="407" t="s">
        <v>252</v>
      </c>
      <c r="D244" s="623" t="s">
        <v>3</v>
      </c>
      <c r="E244" s="623"/>
      <c r="F244" s="409"/>
      <c r="G244" s="401"/>
      <c r="H244" s="459"/>
      <c r="I244" s="410">
        <f>ROUND(H243/1000,4)+I242</f>
        <v>46.072100000000006</v>
      </c>
      <c r="J244" s="405" t="s">
        <v>50</v>
      </c>
      <c r="K244" s="401" t="s">
        <v>255</v>
      </c>
      <c r="L244" s="401" t="s">
        <v>255</v>
      </c>
      <c r="M244" s="401" t="s">
        <v>255</v>
      </c>
      <c r="N244" s="401"/>
      <c r="O244" s="401"/>
      <c r="P244" s="401"/>
    </row>
    <row r="245" spans="1:16" s="136" customFormat="1" ht="18.75" hidden="1" customHeight="1">
      <c r="A245" s="401"/>
      <c r="B245" s="401"/>
      <c r="C245" s="622"/>
      <c r="D245" s="454"/>
      <c r="E245" s="454"/>
      <c r="F245" s="404"/>
      <c r="G245" s="756" t="str">
        <f>C244</f>
        <v>18/5</v>
      </c>
      <c r="H245" s="457">
        <v>425</v>
      </c>
      <c r="I245" s="410"/>
      <c r="J245" s="407"/>
      <c r="K245" s="401"/>
      <c r="L245" s="401"/>
      <c r="M245" s="401"/>
      <c r="N245" s="401"/>
      <c r="O245" s="401"/>
      <c r="P245" s="401"/>
    </row>
    <row r="246" spans="1:16" s="136" customFormat="1" ht="18.75" customHeight="1">
      <c r="A246" s="401">
        <f>SUBTOTAL(103,$C$6:C246)</f>
        <v>121</v>
      </c>
      <c r="B246" s="401"/>
      <c r="C246" s="407" t="s">
        <v>251</v>
      </c>
      <c r="D246" s="623" t="s">
        <v>49</v>
      </c>
      <c r="E246" s="623"/>
      <c r="F246" s="409"/>
      <c r="G246" s="401"/>
      <c r="H246" s="459"/>
      <c r="I246" s="410">
        <f>ROUND(H245/1000,4)+I244</f>
        <v>46.497100000000003</v>
      </c>
      <c r="J246" s="405" t="s">
        <v>50</v>
      </c>
      <c r="K246" s="401" t="s">
        <v>255</v>
      </c>
      <c r="L246" s="401" t="s">
        <v>255</v>
      </c>
      <c r="M246" s="401" t="s">
        <v>255</v>
      </c>
      <c r="N246" s="401"/>
      <c r="O246" s="401"/>
      <c r="P246" s="401"/>
    </row>
    <row r="247" spans="1:16" s="136" customFormat="1" ht="18.75" hidden="1" customHeight="1">
      <c r="A247" s="401"/>
      <c r="B247" s="401"/>
      <c r="C247" s="622"/>
      <c r="D247" s="454"/>
      <c r="E247" s="454"/>
      <c r="F247" s="404"/>
      <c r="G247" s="756" t="str">
        <f>C246</f>
        <v>18/6</v>
      </c>
      <c r="H247" s="457">
        <v>402</v>
      </c>
      <c r="I247" s="410"/>
      <c r="J247" s="407"/>
      <c r="K247" s="401"/>
      <c r="L247" s="401"/>
      <c r="M247" s="401"/>
      <c r="N247" s="401"/>
      <c r="O247" s="401"/>
      <c r="P247" s="401"/>
    </row>
    <row r="248" spans="1:16" s="136" customFormat="1" ht="18.75" customHeight="1">
      <c r="A248" s="401">
        <f>SUBTOTAL(103,$C$6:C248)</f>
        <v>122</v>
      </c>
      <c r="B248" s="401"/>
      <c r="C248" s="407" t="s">
        <v>426</v>
      </c>
      <c r="D248" s="623" t="s">
        <v>170</v>
      </c>
      <c r="E248" s="623"/>
      <c r="F248" s="409"/>
      <c r="G248" s="401"/>
      <c r="H248" s="459"/>
      <c r="I248" s="410">
        <f>ROUND(H247/1000,4)+I246</f>
        <v>46.899100000000004</v>
      </c>
      <c r="J248" s="405" t="s">
        <v>50</v>
      </c>
      <c r="K248" s="401" t="s">
        <v>255</v>
      </c>
      <c r="L248" s="401" t="s">
        <v>255</v>
      </c>
      <c r="M248" s="401" t="s">
        <v>255</v>
      </c>
      <c r="N248" s="401"/>
      <c r="O248" s="401"/>
      <c r="P248" s="401"/>
    </row>
    <row r="249" spans="1:16" s="136" customFormat="1" ht="18.75" hidden="1" customHeight="1">
      <c r="A249" s="401"/>
      <c r="B249" s="401"/>
      <c r="C249" s="622"/>
      <c r="D249" s="454"/>
      <c r="E249" s="454"/>
      <c r="F249" s="404"/>
      <c r="G249" s="756" t="str">
        <f>C248</f>
        <v>18/7</v>
      </c>
      <c r="H249" s="457">
        <v>385.43400000000003</v>
      </c>
      <c r="I249" s="410"/>
      <c r="J249" s="407"/>
      <c r="K249" s="401"/>
      <c r="L249" s="401"/>
      <c r="M249" s="401"/>
      <c r="N249" s="401"/>
      <c r="O249" s="401"/>
      <c r="P249" s="401"/>
    </row>
    <row r="250" spans="1:16" s="136" customFormat="1" ht="18.75" customHeight="1">
      <c r="A250" s="401">
        <f>SUBTOTAL(103,$C$6:C250)</f>
        <v>123</v>
      </c>
      <c r="B250" s="402" t="s">
        <v>556</v>
      </c>
      <c r="C250" s="407" t="s">
        <v>52</v>
      </c>
      <c r="D250" s="623" t="s">
        <v>213</v>
      </c>
      <c r="E250" s="623"/>
      <c r="F250" s="414"/>
      <c r="G250" s="403"/>
      <c r="H250" s="459"/>
      <c r="I250" s="410">
        <f>ROUND(H249/1000,4)+I248</f>
        <v>47.284500000000001</v>
      </c>
      <c r="J250" s="405" t="s">
        <v>50</v>
      </c>
      <c r="K250" s="401" t="s">
        <v>255</v>
      </c>
      <c r="L250" s="401" t="s">
        <v>255</v>
      </c>
      <c r="M250" s="401" t="s">
        <v>255</v>
      </c>
      <c r="N250" s="401"/>
      <c r="O250" s="401" t="s">
        <v>964</v>
      </c>
      <c r="P250" s="401"/>
    </row>
    <row r="251" spans="1:16" s="136" customFormat="1" ht="18.75" hidden="1" customHeight="1">
      <c r="A251" s="401"/>
      <c r="B251" s="401"/>
      <c r="C251" s="622"/>
      <c r="D251" s="454"/>
      <c r="E251" s="454"/>
      <c r="F251" s="404"/>
      <c r="G251" s="756" t="str">
        <f>C250</f>
        <v>19/0</v>
      </c>
      <c r="H251" s="457">
        <v>279.36</v>
      </c>
      <c r="I251" s="410"/>
      <c r="J251" s="407"/>
      <c r="K251" s="401"/>
      <c r="L251" s="401"/>
      <c r="M251" s="401"/>
      <c r="N251" s="401"/>
      <c r="O251" s="401"/>
      <c r="P251" s="401" t="s">
        <v>969</v>
      </c>
    </row>
    <row r="252" spans="1:16" s="136" customFormat="1" ht="18.75" customHeight="1">
      <c r="A252" s="401">
        <f>SUBTOTAL(103,$C$6:C252)</f>
        <v>124</v>
      </c>
      <c r="B252" s="402" t="s">
        <v>557</v>
      </c>
      <c r="C252" s="407" t="s">
        <v>53</v>
      </c>
      <c r="D252" s="623" t="s">
        <v>213</v>
      </c>
      <c r="E252" s="623"/>
      <c r="F252" s="404"/>
      <c r="G252" s="403"/>
      <c r="H252" s="459"/>
      <c r="I252" s="410">
        <f>ROUND(H251/1000,4)+I250</f>
        <v>47.563900000000004</v>
      </c>
      <c r="J252" s="405" t="s">
        <v>50</v>
      </c>
      <c r="K252" s="401" t="s">
        <v>255</v>
      </c>
      <c r="L252" s="401" t="s">
        <v>255</v>
      </c>
      <c r="M252" s="401" t="s">
        <v>255</v>
      </c>
      <c r="N252" s="401"/>
      <c r="O252" s="401" t="s">
        <v>964</v>
      </c>
      <c r="P252" s="401"/>
    </row>
    <row r="253" spans="1:16" s="136" customFormat="1" ht="18.75" hidden="1" customHeight="1">
      <c r="A253" s="401"/>
      <c r="B253" s="401"/>
      <c r="C253" s="622"/>
      <c r="D253" s="454"/>
      <c r="E253" s="454"/>
      <c r="F253" s="404"/>
      <c r="G253" s="756" t="str">
        <f>C252</f>
        <v>20/0</v>
      </c>
      <c r="H253" s="457">
        <v>388.51499999999999</v>
      </c>
      <c r="I253" s="410"/>
      <c r="J253" s="407"/>
      <c r="K253" s="401"/>
      <c r="L253" s="401"/>
      <c r="M253" s="401"/>
      <c r="N253" s="401"/>
      <c r="O253" s="401"/>
      <c r="P253" s="401"/>
    </row>
    <row r="254" spans="1:16" s="136" customFormat="1" ht="18.75" customHeight="1">
      <c r="A254" s="401">
        <f>SUBTOTAL(103,$C$6:C254)</f>
        <v>125</v>
      </c>
      <c r="B254" s="401"/>
      <c r="C254" s="407" t="s">
        <v>174</v>
      </c>
      <c r="D254" s="623" t="s">
        <v>4</v>
      </c>
      <c r="E254" s="623"/>
      <c r="F254" s="409"/>
      <c r="G254" s="401"/>
      <c r="H254" s="459"/>
      <c r="I254" s="410">
        <f>ROUND(H253/1000,4)+I252</f>
        <v>47.952400000000004</v>
      </c>
      <c r="J254" s="405" t="s">
        <v>50</v>
      </c>
      <c r="K254" s="401" t="s">
        <v>255</v>
      </c>
      <c r="L254" s="401" t="s">
        <v>255</v>
      </c>
      <c r="M254" s="401" t="s">
        <v>255</v>
      </c>
      <c r="N254" s="401"/>
      <c r="O254" s="401"/>
      <c r="P254" s="401"/>
    </row>
    <row r="255" spans="1:16" s="136" customFormat="1" ht="18.75" hidden="1" customHeight="1">
      <c r="A255" s="401"/>
      <c r="B255" s="401"/>
      <c r="C255" s="622"/>
      <c r="D255" s="454"/>
      <c r="E255" s="454"/>
      <c r="F255" s="404"/>
      <c r="G255" s="756" t="str">
        <f>C254</f>
        <v>20/1</v>
      </c>
      <c r="H255" s="457">
        <v>330</v>
      </c>
      <c r="I255" s="410"/>
      <c r="J255" s="407"/>
      <c r="K255" s="401"/>
      <c r="L255" s="401"/>
      <c r="M255" s="401"/>
      <c r="N255" s="401"/>
      <c r="O255" s="401"/>
      <c r="P255" s="401"/>
    </row>
    <row r="256" spans="1:16" s="136" customFormat="1" ht="18.75" customHeight="1">
      <c r="A256" s="401">
        <f>SUBTOTAL(103,$C$6:C256)</f>
        <v>126</v>
      </c>
      <c r="B256" s="401"/>
      <c r="C256" s="407" t="s">
        <v>175</v>
      </c>
      <c r="D256" s="623" t="s">
        <v>4</v>
      </c>
      <c r="E256" s="623"/>
      <c r="F256" s="409"/>
      <c r="G256" s="401"/>
      <c r="H256" s="459"/>
      <c r="I256" s="410">
        <f>ROUND(H255/1000,4)+I254</f>
        <v>48.282400000000003</v>
      </c>
      <c r="J256" s="405" t="s">
        <v>50</v>
      </c>
      <c r="K256" s="401" t="s">
        <v>255</v>
      </c>
      <c r="L256" s="401" t="s">
        <v>255</v>
      </c>
      <c r="M256" s="401" t="s">
        <v>255</v>
      </c>
      <c r="N256" s="401"/>
      <c r="O256" s="401"/>
      <c r="P256" s="401"/>
    </row>
    <row r="257" spans="1:16" s="136" customFormat="1" ht="18.75" hidden="1" customHeight="1">
      <c r="A257" s="401"/>
      <c r="B257" s="401"/>
      <c r="C257" s="622"/>
      <c r="D257" s="454"/>
      <c r="E257" s="454"/>
      <c r="F257" s="404"/>
      <c r="G257" s="756" t="str">
        <f>C256</f>
        <v>20/2</v>
      </c>
      <c r="H257" s="457">
        <v>340</v>
      </c>
      <c r="I257" s="410"/>
      <c r="J257" s="407"/>
      <c r="K257" s="401"/>
      <c r="L257" s="401"/>
      <c r="M257" s="401"/>
      <c r="N257" s="401"/>
      <c r="O257" s="401"/>
      <c r="P257" s="401"/>
    </row>
    <row r="258" spans="1:16" s="136" customFormat="1" ht="18.75" customHeight="1">
      <c r="A258" s="401">
        <f>SUBTOTAL(103,$C$6:C258)</f>
        <v>127</v>
      </c>
      <c r="B258" s="401"/>
      <c r="C258" s="407" t="s">
        <v>176</v>
      </c>
      <c r="D258" s="623" t="s">
        <v>170</v>
      </c>
      <c r="E258" s="623"/>
      <c r="F258" s="409"/>
      <c r="G258" s="401"/>
      <c r="H258" s="459"/>
      <c r="I258" s="410">
        <f>ROUND(H257/1000,4)+I256</f>
        <v>48.622400000000006</v>
      </c>
      <c r="J258" s="405" t="s">
        <v>50</v>
      </c>
      <c r="K258" s="401" t="s">
        <v>255</v>
      </c>
      <c r="L258" s="401" t="s">
        <v>255</v>
      </c>
      <c r="M258" s="401" t="s">
        <v>255</v>
      </c>
      <c r="N258" s="401"/>
      <c r="O258" s="401"/>
      <c r="P258" s="401"/>
    </row>
    <row r="259" spans="1:16" s="136" customFormat="1" ht="18.75" hidden="1" customHeight="1">
      <c r="A259" s="401"/>
      <c r="B259" s="401"/>
      <c r="C259" s="622"/>
      <c r="D259" s="454"/>
      <c r="E259" s="454"/>
      <c r="F259" s="404"/>
      <c r="G259" s="756" t="str">
        <f>C258</f>
        <v>20/3</v>
      </c>
      <c r="H259" s="457">
        <v>420</v>
      </c>
      <c r="I259" s="410"/>
      <c r="J259" s="407"/>
      <c r="K259" s="401"/>
      <c r="L259" s="401"/>
      <c r="M259" s="401"/>
      <c r="N259" s="401"/>
      <c r="O259" s="401"/>
      <c r="P259" s="401"/>
    </row>
    <row r="260" spans="1:16" s="136" customFormat="1" ht="18.75" customHeight="1">
      <c r="A260" s="401">
        <f>SUBTOTAL(103,$C$6:C260)</f>
        <v>128</v>
      </c>
      <c r="B260" s="401"/>
      <c r="C260" s="407" t="s">
        <v>177</v>
      </c>
      <c r="D260" s="623" t="s">
        <v>2</v>
      </c>
      <c r="E260" s="623"/>
      <c r="F260" s="409"/>
      <c r="G260" s="401"/>
      <c r="H260" s="459"/>
      <c r="I260" s="410">
        <f>ROUND(H259/1000,4)+I258</f>
        <v>49.042400000000008</v>
      </c>
      <c r="J260" s="405" t="s">
        <v>50</v>
      </c>
      <c r="K260" s="401" t="s">
        <v>255</v>
      </c>
      <c r="L260" s="401" t="s">
        <v>255</v>
      </c>
      <c r="M260" s="401" t="s">
        <v>255</v>
      </c>
      <c r="N260" s="401"/>
      <c r="O260" s="401"/>
      <c r="P260" s="401"/>
    </row>
    <row r="261" spans="1:16" s="136" customFormat="1" ht="18.75" hidden="1" customHeight="1">
      <c r="A261" s="401"/>
      <c r="B261" s="401"/>
      <c r="C261" s="622"/>
      <c r="D261" s="454"/>
      <c r="E261" s="454"/>
      <c r="F261" s="404"/>
      <c r="G261" s="756" t="str">
        <f>C260</f>
        <v>20/4</v>
      </c>
      <c r="H261" s="457">
        <v>396</v>
      </c>
      <c r="I261" s="410"/>
      <c r="J261" s="407"/>
      <c r="K261" s="401"/>
      <c r="L261" s="401"/>
      <c r="M261" s="401"/>
      <c r="N261" s="401"/>
      <c r="O261" s="401"/>
      <c r="P261" s="401"/>
    </row>
    <row r="262" spans="1:16" s="136" customFormat="1" ht="18.75" customHeight="1">
      <c r="A262" s="401">
        <f>SUBTOTAL(103,$C$6:C262)</f>
        <v>129</v>
      </c>
      <c r="B262" s="401"/>
      <c r="C262" s="407" t="s">
        <v>427</v>
      </c>
      <c r="D262" s="623" t="s">
        <v>3</v>
      </c>
      <c r="E262" s="623"/>
      <c r="F262" s="409"/>
      <c r="G262" s="401"/>
      <c r="H262" s="459"/>
      <c r="I262" s="410">
        <f>ROUND(H261/1000,4)+I260</f>
        <v>49.438400000000009</v>
      </c>
      <c r="J262" s="405" t="s">
        <v>50</v>
      </c>
      <c r="K262" s="401" t="s">
        <v>255</v>
      </c>
      <c r="L262" s="401" t="s">
        <v>255</v>
      </c>
      <c r="M262" s="401" t="s">
        <v>255</v>
      </c>
      <c r="N262" s="401"/>
      <c r="O262" s="401"/>
      <c r="P262" s="401"/>
    </row>
    <row r="263" spans="1:16" s="136" customFormat="1" ht="18.75" hidden="1" customHeight="1">
      <c r="A263" s="401"/>
      <c r="B263" s="401"/>
      <c r="C263" s="622"/>
      <c r="D263" s="454"/>
      <c r="E263" s="454"/>
      <c r="F263" s="404"/>
      <c r="G263" s="756" t="str">
        <f>C262</f>
        <v>20/5</v>
      </c>
      <c r="H263" s="457">
        <v>355</v>
      </c>
      <c r="I263" s="410"/>
      <c r="J263" s="407"/>
      <c r="K263" s="401"/>
      <c r="L263" s="401"/>
      <c r="M263" s="401"/>
      <c r="N263" s="401"/>
      <c r="O263" s="401"/>
      <c r="P263" s="401"/>
    </row>
    <row r="264" spans="1:16" s="136" customFormat="1" ht="18.75" customHeight="1">
      <c r="A264" s="401">
        <f>SUBTOTAL(103,$C$6:C264)</f>
        <v>130</v>
      </c>
      <c r="B264" s="401"/>
      <c r="C264" s="407" t="s">
        <v>428</v>
      </c>
      <c r="D264" s="623" t="s">
        <v>4</v>
      </c>
      <c r="E264" s="623"/>
      <c r="F264" s="409"/>
      <c r="G264" s="401"/>
      <c r="H264" s="459"/>
      <c r="I264" s="410">
        <f>ROUND(H263/1000,4)+I262</f>
        <v>49.793400000000005</v>
      </c>
      <c r="J264" s="405" t="s">
        <v>50</v>
      </c>
      <c r="K264" s="401" t="s">
        <v>255</v>
      </c>
      <c r="L264" s="401" t="s">
        <v>255</v>
      </c>
      <c r="M264" s="401" t="s">
        <v>255</v>
      </c>
      <c r="N264" s="401"/>
      <c r="O264" s="401"/>
      <c r="P264" s="401"/>
    </row>
    <row r="265" spans="1:16" s="136" customFormat="1" ht="18.75" hidden="1" customHeight="1">
      <c r="A265" s="401"/>
      <c r="B265" s="401"/>
      <c r="C265" s="622"/>
      <c r="D265" s="454"/>
      <c r="E265" s="454"/>
      <c r="F265" s="404"/>
      <c r="G265" s="756" t="str">
        <f>C264</f>
        <v>20/6</v>
      </c>
      <c r="H265" s="457">
        <v>320.65199999999999</v>
      </c>
      <c r="I265" s="410"/>
      <c r="J265" s="407"/>
      <c r="K265" s="401"/>
      <c r="L265" s="401"/>
      <c r="M265" s="401"/>
      <c r="N265" s="401"/>
      <c r="O265" s="401"/>
      <c r="P265" s="401"/>
    </row>
    <row r="266" spans="1:16" s="136" customFormat="1" ht="18.75" customHeight="1">
      <c r="A266" s="401">
        <f>SUBTOTAL(103,$C$6:C266)</f>
        <v>131</v>
      </c>
      <c r="B266" s="402" t="s">
        <v>558</v>
      </c>
      <c r="C266" s="407" t="s">
        <v>54</v>
      </c>
      <c r="D266" s="623" t="s">
        <v>197</v>
      </c>
      <c r="E266" s="623"/>
      <c r="F266" s="404"/>
      <c r="G266" s="403"/>
      <c r="H266" s="459"/>
      <c r="I266" s="410">
        <f>ROUND(H265/1000,4)+I264</f>
        <v>50.114100000000008</v>
      </c>
      <c r="J266" s="405" t="s">
        <v>50</v>
      </c>
      <c r="K266" s="401" t="s">
        <v>255</v>
      </c>
      <c r="L266" s="401" t="s">
        <v>255</v>
      </c>
      <c r="M266" s="401" t="s">
        <v>255</v>
      </c>
      <c r="N266" s="401"/>
      <c r="O266" s="401"/>
      <c r="P266" s="401"/>
    </row>
    <row r="267" spans="1:16" s="136" customFormat="1" ht="18.75" hidden="1" customHeight="1">
      <c r="A267" s="401"/>
      <c r="B267" s="401"/>
      <c r="C267" s="622"/>
      <c r="D267" s="454"/>
      <c r="E267" s="454"/>
      <c r="F267" s="404"/>
      <c r="G267" s="756" t="str">
        <f>C266</f>
        <v>21/0</v>
      </c>
      <c r="H267" s="457">
        <v>326.34800000000001</v>
      </c>
      <c r="I267" s="410"/>
      <c r="J267" s="407"/>
      <c r="K267" s="401"/>
      <c r="L267" s="401"/>
      <c r="M267" s="401"/>
      <c r="N267" s="401"/>
      <c r="O267" s="401"/>
      <c r="P267" s="401"/>
    </row>
    <row r="268" spans="1:16" s="136" customFormat="1" ht="18.75" customHeight="1">
      <c r="A268" s="401">
        <f>SUBTOTAL(103,$C$6:C268)</f>
        <v>132</v>
      </c>
      <c r="B268" s="401"/>
      <c r="C268" s="407" t="s">
        <v>179</v>
      </c>
      <c r="D268" s="623" t="s">
        <v>3</v>
      </c>
      <c r="E268" s="623"/>
      <c r="F268" s="409"/>
      <c r="G268" s="401"/>
      <c r="H268" s="459"/>
      <c r="I268" s="410">
        <f>ROUND(H267/1000,4)+I266</f>
        <v>50.440400000000011</v>
      </c>
      <c r="J268" s="405" t="s">
        <v>50</v>
      </c>
      <c r="K268" s="401" t="s">
        <v>255</v>
      </c>
      <c r="L268" s="401" t="s">
        <v>255</v>
      </c>
      <c r="M268" s="401" t="s">
        <v>255</v>
      </c>
      <c r="N268" s="401"/>
      <c r="O268" s="401"/>
      <c r="P268" s="401"/>
    </row>
    <row r="269" spans="1:16" s="136" customFormat="1" ht="18.75" hidden="1" customHeight="1">
      <c r="A269" s="401"/>
      <c r="B269" s="401"/>
      <c r="C269" s="622"/>
      <c r="D269" s="454"/>
      <c r="E269" s="454"/>
      <c r="F269" s="404"/>
      <c r="G269" s="756" t="str">
        <f>C268</f>
        <v>21/1</v>
      </c>
      <c r="H269" s="457">
        <v>427</v>
      </c>
      <c r="I269" s="410"/>
      <c r="J269" s="407"/>
      <c r="K269" s="401"/>
      <c r="L269" s="401"/>
      <c r="M269" s="401"/>
      <c r="N269" s="401"/>
      <c r="O269" s="401"/>
      <c r="P269" s="401"/>
    </row>
    <row r="270" spans="1:16" s="136" customFormat="1" ht="18.75" customHeight="1">
      <c r="A270" s="401">
        <f>SUBTOTAL(103,$C$6:C270)</f>
        <v>133</v>
      </c>
      <c r="B270" s="401"/>
      <c r="C270" s="407" t="s">
        <v>180</v>
      </c>
      <c r="D270" s="623" t="s">
        <v>79</v>
      </c>
      <c r="E270" s="623"/>
      <c r="F270" s="409"/>
      <c r="G270" s="401"/>
      <c r="H270" s="459"/>
      <c r="I270" s="410">
        <f>ROUND(H269/1000,4)+I268</f>
        <v>50.867400000000011</v>
      </c>
      <c r="J270" s="405" t="s">
        <v>50</v>
      </c>
      <c r="K270" s="401" t="s">
        <v>255</v>
      </c>
      <c r="L270" s="401" t="s">
        <v>255</v>
      </c>
      <c r="M270" s="401" t="s">
        <v>255</v>
      </c>
      <c r="N270" s="401"/>
      <c r="O270" s="401"/>
      <c r="P270" s="401"/>
    </row>
    <row r="271" spans="1:16" s="136" customFormat="1" ht="18.75" hidden="1" customHeight="1">
      <c r="A271" s="401"/>
      <c r="B271" s="401"/>
      <c r="C271" s="622"/>
      <c r="D271" s="454"/>
      <c r="E271" s="454"/>
      <c r="F271" s="404"/>
      <c r="G271" s="756" t="str">
        <f>C270</f>
        <v>21/2</v>
      </c>
      <c r="H271" s="457">
        <v>410</v>
      </c>
      <c r="I271" s="410"/>
      <c r="J271" s="407"/>
      <c r="K271" s="401"/>
      <c r="L271" s="401"/>
      <c r="M271" s="401"/>
      <c r="N271" s="401"/>
      <c r="O271" s="401"/>
      <c r="P271" s="401"/>
    </row>
    <row r="272" spans="1:16" s="136" customFormat="1" ht="18.75" customHeight="1">
      <c r="A272" s="401">
        <f>SUBTOTAL(103,$C$6:C272)</f>
        <v>134</v>
      </c>
      <c r="B272" s="401"/>
      <c r="C272" s="407" t="s">
        <v>181</v>
      </c>
      <c r="D272" s="623" t="s">
        <v>79</v>
      </c>
      <c r="E272" s="623"/>
      <c r="F272" s="409"/>
      <c r="G272" s="401"/>
      <c r="H272" s="459"/>
      <c r="I272" s="410">
        <f>ROUND(H271/1000,4)+I270</f>
        <v>51.277400000000007</v>
      </c>
      <c r="J272" s="405" t="s">
        <v>50</v>
      </c>
      <c r="K272" s="401" t="s">
        <v>255</v>
      </c>
      <c r="L272" s="401" t="s">
        <v>255</v>
      </c>
      <c r="M272" s="401" t="s">
        <v>255</v>
      </c>
      <c r="N272" s="401"/>
      <c r="O272" s="401"/>
      <c r="P272" s="401"/>
    </row>
    <row r="273" spans="1:16" s="136" customFormat="1" ht="18.75" hidden="1" customHeight="1">
      <c r="A273" s="401"/>
      <c r="B273" s="401"/>
      <c r="C273" s="622"/>
      <c r="D273" s="454"/>
      <c r="E273" s="454"/>
      <c r="F273" s="404"/>
      <c r="G273" s="756" t="str">
        <f>C272</f>
        <v>21/3</v>
      </c>
      <c r="H273" s="457">
        <v>405</v>
      </c>
      <c r="I273" s="410"/>
      <c r="J273" s="407"/>
      <c r="K273" s="401"/>
      <c r="L273" s="401"/>
      <c r="M273" s="401"/>
      <c r="N273" s="401"/>
      <c r="O273" s="401"/>
      <c r="P273" s="401"/>
    </row>
    <row r="274" spans="1:16" s="136" customFormat="1" ht="18.75" customHeight="1">
      <c r="A274" s="401">
        <f>SUBTOTAL(103,$C$6:C274)</f>
        <v>135</v>
      </c>
      <c r="B274" s="401"/>
      <c r="C274" s="407" t="s">
        <v>182</v>
      </c>
      <c r="D274" s="623" t="s">
        <v>3</v>
      </c>
      <c r="E274" s="623"/>
      <c r="F274" s="409"/>
      <c r="G274" s="401"/>
      <c r="H274" s="459"/>
      <c r="I274" s="410">
        <f>ROUND(H273/1000,4)+I272</f>
        <v>51.682400000000008</v>
      </c>
      <c r="J274" s="405" t="s">
        <v>50</v>
      </c>
      <c r="K274" s="401" t="s">
        <v>255</v>
      </c>
      <c r="L274" s="401" t="s">
        <v>255</v>
      </c>
      <c r="M274" s="401" t="s">
        <v>255</v>
      </c>
      <c r="N274" s="401"/>
      <c r="O274" s="401"/>
      <c r="P274" s="401"/>
    </row>
    <row r="275" spans="1:16" s="136" customFormat="1" ht="18.75" hidden="1" customHeight="1">
      <c r="A275" s="401"/>
      <c r="B275" s="401"/>
      <c r="C275" s="622"/>
      <c r="D275" s="454"/>
      <c r="E275" s="454"/>
      <c r="F275" s="404"/>
      <c r="G275" s="756" t="str">
        <f>C274</f>
        <v>21/4</v>
      </c>
      <c r="H275" s="457">
        <v>300</v>
      </c>
      <c r="I275" s="410"/>
      <c r="J275" s="407"/>
      <c r="K275" s="401"/>
      <c r="L275" s="401"/>
      <c r="M275" s="401"/>
      <c r="N275" s="401"/>
      <c r="O275" s="401"/>
      <c r="P275" s="401"/>
    </row>
    <row r="276" spans="1:16" s="136" customFormat="1" ht="18.75" customHeight="1">
      <c r="A276" s="401">
        <f>SUBTOTAL(103,$C$6:C276)</f>
        <v>136</v>
      </c>
      <c r="B276" s="401"/>
      <c r="C276" s="407" t="s">
        <v>429</v>
      </c>
      <c r="D276" s="623" t="s">
        <v>3</v>
      </c>
      <c r="E276" s="623"/>
      <c r="F276" s="409"/>
      <c r="G276" s="401"/>
      <c r="H276" s="459"/>
      <c r="I276" s="410">
        <f>ROUND(H275/1000,4)+I274</f>
        <v>51.982400000000005</v>
      </c>
      <c r="J276" s="405" t="s">
        <v>50</v>
      </c>
      <c r="K276" s="401" t="s">
        <v>255</v>
      </c>
      <c r="L276" s="401" t="s">
        <v>255</v>
      </c>
      <c r="M276" s="401" t="s">
        <v>255</v>
      </c>
      <c r="N276" s="401"/>
      <c r="O276" s="401"/>
      <c r="P276" s="401"/>
    </row>
    <row r="277" spans="1:16" s="136" customFormat="1" ht="18.75" hidden="1" customHeight="1">
      <c r="A277" s="401"/>
      <c r="B277" s="401"/>
      <c r="C277" s="622"/>
      <c r="D277" s="454"/>
      <c r="E277" s="454"/>
      <c r="F277" s="404"/>
      <c r="G277" s="756" t="str">
        <f>C276</f>
        <v>21/5</v>
      </c>
      <c r="H277" s="457">
        <v>415.18700000000001</v>
      </c>
      <c r="I277" s="410"/>
      <c r="J277" s="407"/>
      <c r="K277" s="401"/>
      <c r="L277" s="401"/>
      <c r="M277" s="401"/>
      <c r="N277" s="401"/>
      <c r="O277" s="401"/>
      <c r="P277" s="401"/>
    </row>
    <row r="278" spans="1:16" s="136" customFormat="1" ht="18.75" customHeight="1">
      <c r="A278" s="401">
        <f>SUBTOTAL(103,$C$6:C278)</f>
        <v>137</v>
      </c>
      <c r="B278" s="402" t="s">
        <v>559</v>
      </c>
      <c r="C278" s="407" t="s">
        <v>55</v>
      </c>
      <c r="D278" s="623" t="s">
        <v>430</v>
      </c>
      <c r="E278" s="623"/>
      <c r="F278" s="404"/>
      <c r="G278" s="403"/>
      <c r="H278" s="459"/>
      <c r="I278" s="410">
        <f>ROUND(H277/1000,4)+I276</f>
        <v>52.397600000000004</v>
      </c>
      <c r="J278" s="1067" t="s">
        <v>50</v>
      </c>
      <c r="K278" s="401" t="s">
        <v>255</v>
      </c>
      <c r="L278" s="401" t="s">
        <v>255</v>
      </c>
      <c r="M278" s="401" t="s">
        <v>255</v>
      </c>
      <c r="N278" s="401"/>
      <c r="O278" s="401" t="s">
        <v>964</v>
      </c>
      <c r="P278" s="401"/>
    </row>
    <row r="279" spans="1:16" s="136" customFormat="1" ht="18.75" hidden="1" customHeight="1">
      <c r="A279" s="401"/>
      <c r="B279" s="401"/>
      <c r="C279" s="622"/>
      <c r="D279" s="454"/>
      <c r="E279" s="454"/>
      <c r="F279" s="404"/>
      <c r="G279" s="756" t="str">
        <f>C278</f>
        <v>22/0</v>
      </c>
      <c r="H279" s="457">
        <v>259.05</v>
      </c>
      <c r="I279" s="410"/>
      <c r="J279" s="407"/>
      <c r="K279" s="401"/>
      <c r="L279" s="401"/>
      <c r="M279" s="401"/>
      <c r="N279" s="401"/>
      <c r="O279" s="401"/>
      <c r="P279" s="401" t="s">
        <v>970</v>
      </c>
    </row>
    <row r="280" spans="1:16" s="136" customFormat="1" ht="18.75" customHeight="1">
      <c r="A280" s="401">
        <f>SUBTOTAL(103,$C$6:C280)</f>
        <v>138</v>
      </c>
      <c r="B280" s="402" t="s">
        <v>560</v>
      </c>
      <c r="C280" s="407" t="s">
        <v>56</v>
      </c>
      <c r="D280" s="623" t="s">
        <v>215</v>
      </c>
      <c r="E280" s="623"/>
      <c r="F280" s="404"/>
      <c r="G280" s="403"/>
      <c r="H280" s="459"/>
      <c r="I280" s="410">
        <f>ROUND(H279/1000,4)+I278</f>
        <v>52.656700000000001</v>
      </c>
      <c r="J280" s="1067" t="s">
        <v>50</v>
      </c>
      <c r="K280" s="401" t="s">
        <v>255</v>
      </c>
      <c r="L280" s="401" t="s">
        <v>255</v>
      </c>
      <c r="M280" s="401" t="s">
        <v>255</v>
      </c>
      <c r="N280" s="401"/>
      <c r="O280" s="401"/>
      <c r="P280" s="401"/>
    </row>
    <row r="281" spans="1:16" s="136" customFormat="1" ht="18.75" hidden="1" customHeight="1">
      <c r="A281" s="401"/>
      <c r="B281" s="401"/>
      <c r="C281" s="622"/>
      <c r="D281" s="454"/>
      <c r="E281" s="454"/>
      <c r="F281" s="404"/>
      <c r="G281" s="756" t="str">
        <f>C280</f>
        <v>23/0</v>
      </c>
      <c r="H281" s="457">
        <v>440.46</v>
      </c>
      <c r="I281" s="410"/>
      <c r="J281" s="407"/>
      <c r="K281" s="401"/>
      <c r="L281" s="401"/>
      <c r="M281" s="401"/>
      <c r="N281" s="401"/>
      <c r="O281" s="401"/>
      <c r="P281" s="401"/>
    </row>
    <row r="282" spans="1:16" s="136" customFormat="1" ht="18.75" customHeight="1">
      <c r="A282" s="401">
        <f>SUBTOTAL(103,$C$6:C282)</f>
        <v>139</v>
      </c>
      <c r="B282" s="402" t="s">
        <v>675</v>
      </c>
      <c r="C282" s="407" t="s">
        <v>676</v>
      </c>
      <c r="D282" s="623" t="s">
        <v>211</v>
      </c>
      <c r="E282" s="623"/>
      <c r="F282" s="409"/>
      <c r="G282" s="401"/>
      <c r="H282" s="459"/>
      <c r="I282" s="410">
        <f>ROUND(H281/1000,4)+I280</f>
        <v>53.097200000000001</v>
      </c>
      <c r="J282" s="405" t="s">
        <v>50</v>
      </c>
      <c r="K282" s="401" t="s">
        <v>255</v>
      </c>
      <c r="L282" s="401" t="s">
        <v>255</v>
      </c>
      <c r="M282" s="401" t="s">
        <v>255</v>
      </c>
      <c r="N282" s="401"/>
      <c r="O282" s="401"/>
      <c r="P282" s="401"/>
    </row>
    <row r="283" spans="1:16" s="136" customFormat="1" ht="18.75" hidden="1" customHeight="1">
      <c r="A283" s="401"/>
      <c r="B283" s="401"/>
      <c r="C283" s="622"/>
      <c r="D283" s="454"/>
      <c r="E283" s="454"/>
      <c r="F283" s="404"/>
      <c r="G283" s="756" t="str">
        <f>C282</f>
        <v>23A/0</v>
      </c>
      <c r="H283" s="457">
        <v>496.69</v>
      </c>
      <c r="I283" s="410"/>
      <c r="J283" s="407"/>
      <c r="K283" s="401"/>
      <c r="L283" s="401"/>
      <c r="M283" s="401"/>
      <c r="N283" s="401"/>
      <c r="O283" s="401"/>
      <c r="P283" s="401"/>
    </row>
    <row r="284" spans="1:16" s="136" customFormat="1" ht="18.75" customHeight="1">
      <c r="A284" s="401">
        <f>SUBTOTAL(103,$C$6:C284)</f>
        <v>140</v>
      </c>
      <c r="B284" s="402" t="s">
        <v>561</v>
      </c>
      <c r="C284" s="407" t="s">
        <v>57</v>
      </c>
      <c r="D284" s="623" t="s">
        <v>186</v>
      </c>
      <c r="E284" s="623"/>
      <c r="F284" s="404"/>
      <c r="G284" s="401"/>
      <c r="H284" s="459"/>
      <c r="I284" s="410">
        <f>ROUND(H283/1000,4)+I282</f>
        <v>53.593899999999998</v>
      </c>
      <c r="J284" s="1067" t="s">
        <v>50</v>
      </c>
      <c r="K284" s="401" t="s">
        <v>255</v>
      </c>
      <c r="L284" s="401" t="s">
        <v>255</v>
      </c>
      <c r="M284" s="401" t="s">
        <v>255</v>
      </c>
      <c r="N284" s="401"/>
      <c r="O284" s="401"/>
      <c r="P284" s="401"/>
    </row>
    <row r="285" spans="1:16" s="136" customFormat="1" ht="18.75" hidden="1" customHeight="1">
      <c r="A285" s="401"/>
      <c r="B285" s="401"/>
      <c r="C285" s="622"/>
      <c r="D285" s="454"/>
      <c r="E285" s="454"/>
      <c r="F285" s="404"/>
      <c r="G285" s="756" t="str">
        <f>C284</f>
        <v>24/0</v>
      </c>
      <c r="H285" s="457">
        <v>244.03</v>
      </c>
      <c r="I285" s="410"/>
      <c r="J285" s="407"/>
      <c r="K285" s="401"/>
      <c r="L285" s="401"/>
      <c r="M285" s="401"/>
      <c r="N285" s="401"/>
      <c r="O285" s="401"/>
      <c r="P285" s="401" t="s">
        <v>971</v>
      </c>
    </row>
    <row r="286" spans="1:16" s="136" customFormat="1" ht="18.75" customHeight="1">
      <c r="A286" s="401">
        <f>SUBTOTAL(103,$C$6:C286)</f>
        <v>141</v>
      </c>
      <c r="B286" s="402" t="s">
        <v>562</v>
      </c>
      <c r="C286" s="407" t="s">
        <v>58</v>
      </c>
      <c r="D286" s="623" t="s">
        <v>186</v>
      </c>
      <c r="E286" s="623"/>
      <c r="F286" s="404"/>
      <c r="G286" s="403"/>
      <c r="H286" s="459"/>
      <c r="I286" s="410">
        <f>ROUND(H285/1000,4)+I284</f>
        <v>53.837899999999998</v>
      </c>
      <c r="J286" s="1067" t="s">
        <v>50</v>
      </c>
      <c r="K286" s="401" t="s">
        <v>255</v>
      </c>
      <c r="L286" s="401" t="s">
        <v>255</v>
      </c>
      <c r="M286" s="401" t="s">
        <v>255</v>
      </c>
      <c r="N286" s="401"/>
      <c r="O286" s="401"/>
      <c r="P286" s="401"/>
    </row>
    <row r="287" spans="1:16" s="136" customFormat="1" ht="18.75" hidden="1" customHeight="1">
      <c r="A287" s="401"/>
      <c r="B287" s="401"/>
      <c r="C287" s="622"/>
      <c r="D287" s="454"/>
      <c r="E287" s="454"/>
      <c r="F287" s="404"/>
      <c r="G287" s="756" t="str">
        <f>C286</f>
        <v>25/0</v>
      </c>
      <c r="H287" s="457">
        <v>237.43</v>
      </c>
      <c r="I287" s="410"/>
      <c r="J287" s="407"/>
      <c r="K287" s="401"/>
      <c r="L287" s="401"/>
      <c r="M287" s="401"/>
      <c r="N287" s="401"/>
      <c r="O287" s="401"/>
      <c r="P287" s="401"/>
    </row>
    <row r="288" spans="1:16" s="136" customFormat="1" ht="18.75" customHeight="1">
      <c r="A288" s="401">
        <f>SUBTOTAL(103,$C$6:C288)</f>
        <v>142</v>
      </c>
      <c r="B288" s="402" t="s">
        <v>563</v>
      </c>
      <c r="C288" s="407" t="s">
        <v>59</v>
      </c>
      <c r="D288" s="623" t="s">
        <v>431</v>
      </c>
      <c r="E288" s="623"/>
      <c r="F288" s="404"/>
      <c r="G288" s="403"/>
      <c r="H288" s="459"/>
      <c r="I288" s="410">
        <f>ROUND(H287/1000,4)+I286</f>
        <v>54.075299999999999</v>
      </c>
      <c r="J288" s="1067" t="s">
        <v>50</v>
      </c>
      <c r="K288" s="401" t="s">
        <v>255</v>
      </c>
      <c r="L288" s="401" t="s">
        <v>255</v>
      </c>
      <c r="M288" s="401" t="s">
        <v>255</v>
      </c>
      <c r="N288" s="401"/>
      <c r="O288" s="401"/>
      <c r="P288" s="401"/>
    </row>
    <row r="289" spans="1:16" s="136" customFormat="1" ht="18.75" hidden="1" customHeight="1">
      <c r="A289" s="401"/>
      <c r="B289" s="401"/>
      <c r="C289" s="622"/>
      <c r="D289" s="454"/>
      <c r="E289" s="454"/>
      <c r="F289" s="404"/>
      <c r="G289" s="756" t="str">
        <f>C288</f>
        <v>26/0</v>
      </c>
      <c r="H289" s="457">
        <v>203.48</v>
      </c>
      <c r="I289" s="410"/>
      <c r="J289" s="407"/>
      <c r="K289" s="401"/>
      <c r="L289" s="401"/>
      <c r="M289" s="401"/>
      <c r="N289" s="401"/>
      <c r="O289" s="401"/>
      <c r="P289" s="401" t="s">
        <v>972</v>
      </c>
    </row>
    <row r="290" spans="1:16" s="136" customFormat="1" ht="18.75" customHeight="1">
      <c r="A290" s="401">
        <f>SUBTOTAL(103,$C$6:C290)</f>
        <v>143</v>
      </c>
      <c r="B290" s="402" t="s">
        <v>564</v>
      </c>
      <c r="C290" s="407" t="s">
        <v>60</v>
      </c>
      <c r="D290" s="623" t="s">
        <v>431</v>
      </c>
      <c r="E290" s="623"/>
      <c r="F290" s="404"/>
      <c r="G290" s="403"/>
      <c r="H290" s="459"/>
      <c r="I290" s="410">
        <f>ROUND(H289/1000,4)+I288</f>
        <v>54.278799999999997</v>
      </c>
      <c r="J290" s="1067" t="s">
        <v>50</v>
      </c>
      <c r="K290" s="401" t="s">
        <v>255</v>
      </c>
      <c r="L290" s="401" t="s">
        <v>255</v>
      </c>
      <c r="M290" s="401" t="s">
        <v>255</v>
      </c>
      <c r="N290" s="401"/>
      <c r="O290" s="401" t="s">
        <v>964</v>
      </c>
      <c r="P290" s="401"/>
    </row>
    <row r="291" spans="1:16" s="136" customFormat="1" ht="18.75" hidden="1" customHeight="1">
      <c r="A291" s="401"/>
      <c r="B291" s="401"/>
      <c r="C291" s="622"/>
      <c r="D291" s="454"/>
      <c r="E291" s="454"/>
      <c r="F291" s="404"/>
      <c r="G291" s="756" t="str">
        <f>C290</f>
        <v>27/0</v>
      </c>
      <c r="H291" s="457">
        <v>453.68799999999999</v>
      </c>
      <c r="I291" s="410"/>
      <c r="J291" s="407"/>
      <c r="K291" s="401"/>
      <c r="L291" s="401"/>
      <c r="M291" s="401"/>
      <c r="N291" s="401"/>
      <c r="O291" s="401"/>
      <c r="P291" s="401"/>
    </row>
    <row r="292" spans="1:16" s="136" customFormat="1" ht="18.75" customHeight="1">
      <c r="A292" s="401">
        <f>SUBTOTAL(103,$C$6:C292)</f>
        <v>144</v>
      </c>
      <c r="B292" s="401"/>
      <c r="C292" s="407" t="s">
        <v>61</v>
      </c>
      <c r="D292" s="623" t="s">
        <v>49</v>
      </c>
      <c r="E292" s="623"/>
      <c r="F292" s="409"/>
      <c r="G292" s="401"/>
      <c r="H292" s="459"/>
      <c r="I292" s="410">
        <f>ROUND(H291/1000,4)+I290</f>
        <v>54.732499999999995</v>
      </c>
      <c r="J292" s="405" t="s">
        <v>50</v>
      </c>
      <c r="K292" s="401" t="s">
        <v>255</v>
      </c>
      <c r="L292" s="401" t="s">
        <v>255</v>
      </c>
      <c r="M292" s="401" t="s">
        <v>255</v>
      </c>
      <c r="N292" s="401"/>
      <c r="O292" s="401"/>
      <c r="P292" s="401"/>
    </row>
    <row r="293" spans="1:16" s="136" customFormat="1" ht="18.75" hidden="1" customHeight="1">
      <c r="A293" s="401"/>
      <c r="B293" s="401"/>
      <c r="C293" s="622"/>
      <c r="D293" s="454"/>
      <c r="E293" s="454"/>
      <c r="F293" s="404"/>
      <c r="G293" s="756" t="str">
        <f>C292</f>
        <v>27/1</v>
      </c>
      <c r="H293" s="457">
        <v>345</v>
      </c>
      <c r="I293" s="410"/>
      <c r="J293" s="407"/>
      <c r="K293" s="401"/>
      <c r="L293" s="401"/>
      <c r="M293" s="401"/>
      <c r="N293" s="401"/>
      <c r="O293" s="401"/>
      <c r="P293" s="401"/>
    </row>
    <row r="294" spans="1:16" s="136" customFormat="1" ht="18.75" customHeight="1">
      <c r="A294" s="401">
        <f>SUBTOTAL(103,$C$6:C294)</f>
        <v>145</v>
      </c>
      <c r="B294" s="411"/>
      <c r="C294" s="407" t="s">
        <v>62</v>
      </c>
      <c r="D294" s="623" t="s">
        <v>154</v>
      </c>
      <c r="E294" s="623"/>
      <c r="F294" s="409"/>
      <c r="G294" s="401"/>
      <c r="H294" s="459"/>
      <c r="I294" s="410">
        <f>ROUND(H293/1000,4)+I292</f>
        <v>55.077499999999993</v>
      </c>
      <c r="J294" s="405" t="s">
        <v>50</v>
      </c>
      <c r="K294" s="401" t="s">
        <v>255</v>
      </c>
      <c r="L294" s="401" t="s">
        <v>255</v>
      </c>
      <c r="M294" s="401" t="s">
        <v>255</v>
      </c>
      <c r="N294" s="401"/>
      <c r="O294" s="401"/>
      <c r="P294" s="401"/>
    </row>
    <row r="295" spans="1:16" s="136" customFormat="1" ht="18.75" hidden="1" customHeight="1">
      <c r="A295" s="401"/>
      <c r="B295" s="401"/>
      <c r="C295" s="622"/>
      <c r="D295" s="454"/>
      <c r="E295" s="454"/>
      <c r="F295" s="404"/>
      <c r="G295" s="756" t="str">
        <f>C294</f>
        <v>27/2</v>
      </c>
      <c r="H295" s="457">
        <v>360</v>
      </c>
      <c r="I295" s="410"/>
      <c r="J295" s="407"/>
      <c r="K295" s="401"/>
      <c r="L295" s="401"/>
      <c r="M295" s="401"/>
      <c r="N295" s="401"/>
      <c r="O295" s="401"/>
      <c r="P295" s="401"/>
    </row>
    <row r="296" spans="1:16" s="136" customFormat="1" ht="18.75" customHeight="1">
      <c r="A296" s="401">
        <f>SUBTOTAL(103,$C$6:C296)</f>
        <v>146</v>
      </c>
      <c r="B296" s="401"/>
      <c r="C296" s="407" t="s">
        <v>153</v>
      </c>
      <c r="D296" s="623" t="s">
        <v>170</v>
      </c>
      <c r="E296" s="623"/>
      <c r="F296" s="409"/>
      <c r="G296" s="401"/>
      <c r="H296" s="459"/>
      <c r="I296" s="410">
        <f>ROUND(H295/1000,4)+I294</f>
        <v>55.437499999999993</v>
      </c>
      <c r="J296" s="405" t="s">
        <v>50</v>
      </c>
      <c r="K296" s="401" t="s">
        <v>255</v>
      </c>
      <c r="L296" s="401" t="s">
        <v>255</v>
      </c>
      <c r="M296" s="401" t="s">
        <v>255</v>
      </c>
      <c r="N296" s="401"/>
      <c r="O296" s="401"/>
      <c r="P296" s="401"/>
    </row>
    <row r="297" spans="1:16" s="136" customFormat="1" ht="18.75" hidden="1" customHeight="1">
      <c r="A297" s="401"/>
      <c r="B297" s="401"/>
      <c r="C297" s="622"/>
      <c r="D297" s="454"/>
      <c r="E297" s="454"/>
      <c r="F297" s="404"/>
      <c r="G297" s="756" t="str">
        <f>C296</f>
        <v>27/3</v>
      </c>
      <c r="H297" s="457">
        <v>410</v>
      </c>
      <c r="I297" s="410"/>
      <c r="J297" s="407"/>
      <c r="K297" s="401"/>
      <c r="L297" s="401"/>
      <c r="M297" s="401"/>
      <c r="N297" s="401"/>
      <c r="O297" s="401"/>
      <c r="P297" s="401"/>
    </row>
    <row r="298" spans="1:16" s="136" customFormat="1" ht="18.75" customHeight="1">
      <c r="A298" s="401">
        <f>SUBTOTAL(103,$C$6:C298)</f>
        <v>147</v>
      </c>
      <c r="B298" s="401"/>
      <c r="C298" s="407" t="s">
        <v>155</v>
      </c>
      <c r="D298" s="623" t="s">
        <v>170</v>
      </c>
      <c r="E298" s="623"/>
      <c r="F298" s="409"/>
      <c r="G298" s="401"/>
      <c r="H298" s="459"/>
      <c r="I298" s="410">
        <f>ROUND(H297/1000,4)+I296</f>
        <v>55.847499999999989</v>
      </c>
      <c r="J298" s="405" t="s">
        <v>50</v>
      </c>
      <c r="K298" s="401" t="s">
        <v>255</v>
      </c>
      <c r="L298" s="401" t="s">
        <v>255</v>
      </c>
      <c r="M298" s="401" t="s">
        <v>255</v>
      </c>
      <c r="N298" s="401"/>
      <c r="O298" s="401"/>
      <c r="P298" s="401"/>
    </row>
    <row r="299" spans="1:16" s="136" customFormat="1" ht="18.75" hidden="1" customHeight="1">
      <c r="A299" s="401"/>
      <c r="B299" s="401"/>
      <c r="C299" s="622"/>
      <c r="D299" s="454"/>
      <c r="E299" s="454"/>
      <c r="F299" s="404"/>
      <c r="G299" s="756" t="str">
        <f>C298</f>
        <v>27/4</v>
      </c>
      <c r="H299" s="457">
        <v>350</v>
      </c>
      <c r="I299" s="410"/>
      <c r="J299" s="407"/>
      <c r="K299" s="401"/>
      <c r="L299" s="401"/>
      <c r="M299" s="401"/>
      <c r="N299" s="401"/>
      <c r="O299" s="401"/>
      <c r="P299" s="401"/>
    </row>
    <row r="300" spans="1:16" s="136" customFormat="1" ht="18.75" customHeight="1">
      <c r="A300" s="401">
        <f>SUBTOTAL(103,$C$6:C300)</f>
        <v>148</v>
      </c>
      <c r="B300" s="401"/>
      <c r="C300" s="407" t="s">
        <v>156</v>
      </c>
      <c r="D300" s="623" t="s">
        <v>154</v>
      </c>
      <c r="E300" s="623"/>
      <c r="F300" s="409"/>
      <c r="G300" s="401"/>
      <c r="H300" s="459"/>
      <c r="I300" s="410">
        <f>ROUND(H299/1000,4)+I298</f>
        <v>56.197499999999991</v>
      </c>
      <c r="J300" s="405" t="s">
        <v>50</v>
      </c>
      <c r="K300" s="401" t="s">
        <v>255</v>
      </c>
      <c r="L300" s="401" t="s">
        <v>255</v>
      </c>
      <c r="M300" s="401" t="s">
        <v>255</v>
      </c>
      <c r="N300" s="401"/>
      <c r="O300" s="401"/>
      <c r="P300" s="401"/>
    </row>
    <row r="301" spans="1:16" s="136" customFormat="1" ht="18.75" hidden="1" customHeight="1">
      <c r="A301" s="401"/>
      <c r="B301" s="401"/>
      <c r="C301" s="622"/>
      <c r="D301" s="454"/>
      <c r="E301" s="454"/>
      <c r="F301" s="404"/>
      <c r="G301" s="756" t="str">
        <f>C300</f>
        <v>27/5</v>
      </c>
      <c r="H301" s="457">
        <v>355</v>
      </c>
      <c r="I301" s="410"/>
      <c r="J301" s="407"/>
      <c r="K301" s="401"/>
      <c r="L301" s="401"/>
      <c r="M301" s="401"/>
      <c r="N301" s="401"/>
      <c r="O301" s="401"/>
      <c r="P301" s="401"/>
    </row>
    <row r="302" spans="1:16" s="136" customFormat="1" ht="18.75" customHeight="1">
      <c r="A302" s="401">
        <f>SUBTOTAL(103,$C$6:C302)</f>
        <v>149</v>
      </c>
      <c r="B302" s="401"/>
      <c r="C302" s="407" t="s">
        <v>162</v>
      </c>
      <c r="D302" s="623" t="s">
        <v>4</v>
      </c>
      <c r="E302" s="623"/>
      <c r="F302" s="409"/>
      <c r="G302" s="401"/>
      <c r="H302" s="459"/>
      <c r="I302" s="410">
        <f>ROUND(H301/1000,4)+I300</f>
        <v>56.552499999999988</v>
      </c>
      <c r="J302" s="405" t="s">
        <v>50</v>
      </c>
      <c r="K302" s="401" t="s">
        <v>255</v>
      </c>
      <c r="L302" s="401" t="s">
        <v>255</v>
      </c>
      <c r="M302" s="401" t="s">
        <v>255</v>
      </c>
      <c r="N302" s="401"/>
      <c r="O302" s="401"/>
      <c r="P302" s="401"/>
    </row>
    <row r="303" spans="1:16" s="136" customFormat="1" ht="18.75" hidden="1" customHeight="1">
      <c r="A303" s="401"/>
      <c r="B303" s="401"/>
      <c r="C303" s="622"/>
      <c r="D303" s="454"/>
      <c r="E303" s="454"/>
      <c r="F303" s="404"/>
      <c r="G303" s="756" t="str">
        <f>C302</f>
        <v>27/6</v>
      </c>
      <c r="H303" s="457">
        <v>274.58699999999999</v>
      </c>
      <c r="I303" s="410"/>
      <c r="J303" s="407"/>
      <c r="K303" s="401"/>
      <c r="L303" s="401"/>
      <c r="M303" s="401"/>
      <c r="N303" s="401"/>
      <c r="O303" s="401"/>
      <c r="P303" s="401"/>
    </row>
    <row r="304" spans="1:16" s="136" customFormat="1" ht="18.75" customHeight="1">
      <c r="A304" s="401">
        <f>SUBTOTAL(103,$C$6:C304)</f>
        <v>150</v>
      </c>
      <c r="B304" s="402" t="s">
        <v>565</v>
      </c>
      <c r="C304" s="407" t="s">
        <v>63</v>
      </c>
      <c r="D304" s="623" t="s">
        <v>250</v>
      </c>
      <c r="E304" s="623"/>
      <c r="F304" s="409"/>
      <c r="G304" s="401"/>
      <c r="H304" s="458"/>
      <c r="I304" s="410">
        <f>ROUND(H303/1000,4)+I302</f>
        <v>56.827099999999987</v>
      </c>
      <c r="J304" s="405" t="s">
        <v>50</v>
      </c>
      <c r="K304" s="401" t="s">
        <v>255</v>
      </c>
      <c r="L304" s="401" t="s">
        <v>255</v>
      </c>
      <c r="M304" s="401" t="s">
        <v>255</v>
      </c>
      <c r="N304" s="401"/>
      <c r="O304" s="401"/>
      <c r="P304" s="401"/>
    </row>
    <row r="305" spans="1:16" s="136" customFormat="1" ht="18.75" hidden="1" customHeight="1">
      <c r="A305" s="401"/>
      <c r="B305" s="401"/>
      <c r="C305" s="622"/>
      <c r="D305" s="454"/>
      <c r="E305" s="454"/>
      <c r="F305" s="404"/>
      <c r="G305" s="756" t="str">
        <f>C304</f>
        <v>28/0</v>
      </c>
      <c r="H305" s="457">
        <v>211.21</v>
      </c>
      <c r="I305" s="410"/>
      <c r="J305" s="407"/>
      <c r="K305" s="401"/>
      <c r="L305" s="401"/>
      <c r="M305" s="401"/>
      <c r="N305" s="401"/>
      <c r="O305" s="401"/>
      <c r="P305" s="401" t="s">
        <v>965</v>
      </c>
    </row>
    <row r="306" spans="1:16" s="136" customFormat="1" ht="18.75" customHeight="1">
      <c r="A306" s="401">
        <f>SUBTOTAL(103,$C$6:C306)</f>
        <v>151</v>
      </c>
      <c r="B306" s="402" t="s">
        <v>566</v>
      </c>
      <c r="C306" s="407" t="s">
        <v>64</v>
      </c>
      <c r="D306" s="623" t="s">
        <v>185</v>
      </c>
      <c r="E306" s="623"/>
      <c r="F306" s="404"/>
      <c r="G306" s="403"/>
      <c r="H306" s="459"/>
      <c r="I306" s="410">
        <f>ROUND(H305/1000,4)+I304</f>
        <v>57.038299999999985</v>
      </c>
      <c r="J306" s="405" t="s">
        <v>50</v>
      </c>
      <c r="K306" s="401" t="s">
        <v>255</v>
      </c>
      <c r="L306" s="401" t="s">
        <v>255</v>
      </c>
      <c r="M306" s="401" t="s">
        <v>255</v>
      </c>
      <c r="N306" s="401"/>
      <c r="O306" s="401" t="s">
        <v>964</v>
      </c>
      <c r="P306" s="401"/>
    </row>
    <row r="307" spans="1:16" s="136" customFormat="1" ht="18.75" hidden="1" customHeight="1">
      <c r="A307" s="401"/>
      <c r="B307" s="401"/>
      <c r="C307" s="622"/>
      <c r="D307" s="454"/>
      <c r="E307" s="454"/>
      <c r="F307" s="404"/>
      <c r="G307" s="756" t="str">
        <f>C306</f>
        <v>29/0</v>
      </c>
      <c r="H307" s="457">
        <v>384.20400000000001</v>
      </c>
      <c r="I307" s="410"/>
      <c r="J307" s="407"/>
      <c r="K307" s="401"/>
      <c r="L307" s="401"/>
      <c r="M307" s="401"/>
      <c r="N307" s="401"/>
      <c r="O307" s="401"/>
      <c r="P307" s="401"/>
    </row>
    <row r="308" spans="1:16" s="136" customFormat="1" ht="18.75" customHeight="1">
      <c r="A308" s="401">
        <f>SUBTOTAL(103,$C$6:C308)</f>
        <v>152</v>
      </c>
      <c r="B308" s="401"/>
      <c r="C308" s="407" t="s">
        <v>432</v>
      </c>
      <c r="D308" s="623" t="s">
        <v>79</v>
      </c>
      <c r="E308" s="623"/>
      <c r="F308" s="409"/>
      <c r="G308" s="401"/>
      <c r="H308" s="459"/>
      <c r="I308" s="410">
        <f>ROUND(H307/1000,4)+I306</f>
        <v>57.422499999999985</v>
      </c>
      <c r="J308" s="405" t="s">
        <v>50</v>
      </c>
      <c r="K308" s="401" t="s">
        <v>255</v>
      </c>
      <c r="L308" s="401" t="s">
        <v>255</v>
      </c>
      <c r="M308" s="401" t="s">
        <v>255</v>
      </c>
      <c r="N308" s="401"/>
      <c r="O308" s="401"/>
      <c r="P308" s="401"/>
    </row>
    <row r="309" spans="1:16" s="136" customFormat="1" ht="18.75" hidden="1" customHeight="1">
      <c r="A309" s="401"/>
      <c r="B309" s="401"/>
      <c r="C309" s="622"/>
      <c r="D309" s="454"/>
      <c r="E309" s="454"/>
      <c r="F309" s="404"/>
      <c r="G309" s="756" t="str">
        <f>C308</f>
        <v>29/1</v>
      </c>
      <c r="H309" s="457">
        <v>430</v>
      </c>
      <c r="I309" s="410"/>
      <c r="J309" s="407"/>
      <c r="K309" s="401"/>
      <c r="L309" s="401"/>
      <c r="M309" s="401"/>
      <c r="N309" s="401"/>
      <c r="O309" s="401"/>
      <c r="P309" s="401"/>
    </row>
    <row r="310" spans="1:16" s="136" customFormat="1" ht="18.75" customHeight="1">
      <c r="A310" s="401">
        <f>SUBTOTAL(103,$C$6:C310)</f>
        <v>153</v>
      </c>
      <c r="B310" s="401"/>
      <c r="C310" s="407" t="s">
        <v>433</v>
      </c>
      <c r="D310" s="623" t="s">
        <v>3</v>
      </c>
      <c r="E310" s="623"/>
      <c r="F310" s="409"/>
      <c r="G310" s="401"/>
      <c r="H310" s="459"/>
      <c r="I310" s="410">
        <f>ROUND(H309/1000,4)+I308</f>
        <v>57.852499999999985</v>
      </c>
      <c r="J310" s="405" t="s">
        <v>50</v>
      </c>
      <c r="K310" s="401" t="s">
        <v>255</v>
      </c>
      <c r="L310" s="401" t="s">
        <v>255</v>
      </c>
      <c r="M310" s="401" t="s">
        <v>255</v>
      </c>
      <c r="N310" s="401"/>
      <c r="O310" s="401"/>
      <c r="P310" s="401"/>
    </row>
    <row r="311" spans="1:16" s="136" customFormat="1" ht="18.75" hidden="1" customHeight="1">
      <c r="A311" s="401"/>
      <c r="B311" s="401"/>
      <c r="C311" s="622"/>
      <c r="D311" s="454"/>
      <c r="E311" s="454"/>
      <c r="F311" s="404"/>
      <c r="G311" s="756" t="str">
        <f>C310</f>
        <v>29/2</v>
      </c>
      <c r="H311" s="457">
        <v>370</v>
      </c>
      <c r="I311" s="410"/>
      <c r="J311" s="407"/>
      <c r="K311" s="401"/>
      <c r="L311" s="401"/>
      <c r="M311" s="401"/>
      <c r="N311" s="401"/>
      <c r="O311" s="401"/>
      <c r="P311" s="401"/>
    </row>
    <row r="312" spans="1:16" s="136" customFormat="1" ht="18.75" customHeight="1">
      <c r="A312" s="401">
        <f>SUBTOTAL(103,$C$6:C312)</f>
        <v>154</v>
      </c>
      <c r="B312" s="401"/>
      <c r="C312" s="407" t="s">
        <v>434</v>
      </c>
      <c r="D312" s="623" t="s">
        <v>3</v>
      </c>
      <c r="E312" s="623"/>
      <c r="F312" s="409"/>
      <c r="G312" s="401"/>
      <c r="H312" s="459"/>
      <c r="I312" s="410">
        <f>ROUND(H311/1000,4)+I310</f>
        <v>58.222499999999982</v>
      </c>
      <c r="J312" s="405" t="s">
        <v>50</v>
      </c>
      <c r="K312" s="401" t="s">
        <v>255</v>
      </c>
      <c r="L312" s="401" t="s">
        <v>255</v>
      </c>
      <c r="M312" s="401" t="s">
        <v>255</v>
      </c>
      <c r="N312" s="401" t="str">
        <f>VLOOKUP(C312,'Tack Welding'!$D$5:$J$94,7,0)</f>
        <v xml:space="preserve">Completed </v>
      </c>
      <c r="O312" s="401"/>
      <c r="P312" s="401"/>
    </row>
    <row r="313" spans="1:16" s="136" customFormat="1" ht="18.75" hidden="1" customHeight="1">
      <c r="A313" s="401"/>
      <c r="B313" s="401"/>
      <c r="C313" s="622"/>
      <c r="D313" s="454"/>
      <c r="E313" s="454"/>
      <c r="F313" s="404"/>
      <c r="G313" s="756" t="str">
        <f>C312</f>
        <v>29/3</v>
      </c>
      <c r="H313" s="457">
        <v>390</v>
      </c>
      <c r="I313" s="410"/>
      <c r="J313" s="407"/>
      <c r="K313" s="401"/>
      <c r="L313" s="401"/>
      <c r="M313" s="401"/>
      <c r="N313" s="401"/>
      <c r="O313" s="401"/>
      <c r="P313" s="401"/>
    </row>
    <row r="314" spans="1:16" s="136" customFormat="1" ht="18.75" customHeight="1">
      <c r="A314" s="401">
        <f>SUBTOTAL(103,$C$6:C314)</f>
        <v>155</v>
      </c>
      <c r="B314" s="401"/>
      <c r="C314" s="407" t="s">
        <v>435</v>
      </c>
      <c r="D314" s="623" t="s">
        <v>2</v>
      </c>
      <c r="E314" s="623"/>
      <c r="F314" s="409"/>
      <c r="G314" s="401"/>
      <c r="H314" s="459"/>
      <c r="I314" s="410">
        <f>ROUND(H313/1000,4)+I312</f>
        <v>58.612499999999983</v>
      </c>
      <c r="J314" s="405" t="s">
        <v>50</v>
      </c>
      <c r="K314" s="401" t="s">
        <v>255</v>
      </c>
      <c r="L314" s="401" t="s">
        <v>255</v>
      </c>
      <c r="M314" s="401" t="s">
        <v>255</v>
      </c>
      <c r="N314" s="401" t="str">
        <f>VLOOKUP(C314,'Tack Welding'!$D$5:$J$94,7,0)</f>
        <v xml:space="preserve">Completed </v>
      </c>
      <c r="O314" s="401"/>
      <c r="P314" s="401"/>
    </row>
    <row r="315" spans="1:16" s="136" customFormat="1" ht="18.75" hidden="1" customHeight="1">
      <c r="A315" s="401"/>
      <c r="B315" s="401"/>
      <c r="C315" s="622"/>
      <c r="D315" s="454"/>
      <c r="E315" s="454"/>
      <c r="F315" s="404"/>
      <c r="G315" s="756" t="str">
        <f>C314</f>
        <v>29/4</v>
      </c>
      <c r="H315" s="457">
        <v>435</v>
      </c>
      <c r="I315" s="410"/>
      <c r="J315" s="407"/>
      <c r="K315" s="401"/>
      <c r="L315" s="401"/>
      <c r="M315" s="401"/>
      <c r="N315" s="401"/>
      <c r="O315" s="401"/>
      <c r="P315" s="401"/>
    </row>
    <row r="316" spans="1:16" s="136" customFormat="1" ht="18.75" customHeight="1">
      <c r="A316" s="401">
        <f>SUBTOTAL(103,$C$6:C316)</f>
        <v>156</v>
      </c>
      <c r="B316" s="401"/>
      <c r="C316" s="407" t="s">
        <v>436</v>
      </c>
      <c r="D316" s="623" t="s">
        <v>3</v>
      </c>
      <c r="E316" s="623"/>
      <c r="F316" s="409"/>
      <c r="G316" s="401"/>
      <c r="H316" s="459"/>
      <c r="I316" s="410">
        <f>ROUND(H315/1000,4)+I314</f>
        <v>59.047499999999985</v>
      </c>
      <c r="J316" s="405" t="s">
        <v>50</v>
      </c>
      <c r="K316" s="401" t="s">
        <v>255</v>
      </c>
      <c r="L316" s="401" t="s">
        <v>255</v>
      </c>
      <c r="M316" s="401" t="s">
        <v>255</v>
      </c>
      <c r="N316" s="401" t="str">
        <f>VLOOKUP(C316,'Tack Welding'!$D$5:$J$94,7,0)</f>
        <v xml:space="preserve">Completed </v>
      </c>
      <c r="O316" s="401"/>
      <c r="P316" s="401"/>
    </row>
    <row r="317" spans="1:16" s="136" customFormat="1" ht="18.75" hidden="1" customHeight="1">
      <c r="A317" s="401"/>
      <c r="B317" s="401"/>
      <c r="C317" s="622"/>
      <c r="D317" s="454"/>
      <c r="E317" s="454"/>
      <c r="F317" s="404"/>
      <c r="G317" s="756" t="str">
        <f>C316</f>
        <v>29/5</v>
      </c>
      <c r="H317" s="457">
        <v>370</v>
      </c>
      <c r="I317" s="410"/>
      <c r="J317" s="407"/>
      <c r="K317" s="401"/>
      <c r="L317" s="401"/>
      <c r="M317" s="401"/>
      <c r="N317" s="401"/>
      <c r="O317" s="401"/>
      <c r="P317" s="401"/>
    </row>
    <row r="318" spans="1:16" s="136" customFormat="1" ht="18.75" customHeight="1">
      <c r="A318" s="401">
        <f>SUBTOTAL(103,$C$6:C318)</f>
        <v>157</v>
      </c>
      <c r="B318" s="402" t="s">
        <v>899</v>
      </c>
      <c r="C318" s="407" t="s">
        <v>900</v>
      </c>
      <c r="D318" s="623" t="s">
        <v>197</v>
      </c>
      <c r="E318" s="623"/>
      <c r="F318" s="409"/>
      <c r="G318" s="401"/>
      <c r="H318" s="459"/>
      <c r="I318" s="410">
        <f>ROUND(H317/1000,4)+I316</f>
        <v>59.417499999999983</v>
      </c>
      <c r="J318" s="405" t="s">
        <v>50</v>
      </c>
      <c r="K318" s="401" t="s">
        <v>255</v>
      </c>
      <c r="L318" s="401" t="s">
        <v>255</v>
      </c>
      <c r="M318" s="401" t="s">
        <v>255</v>
      </c>
      <c r="N318" s="401"/>
      <c r="O318" s="401"/>
      <c r="P318" s="401"/>
    </row>
    <row r="319" spans="1:16" s="136" customFormat="1" ht="18.75" hidden="1" customHeight="1">
      <c r="A319" s="401"/>
      <c r="B319" s="401"/>
      <c r="C319" s="622"/>
      <c r="D319" s="454"/>
      <c r="E319" s="454"/>
      <c r="F319" s="404"/>
      <c r="G319" s="756" t="str">
        <f>C318</f>
        <v>29A/0</v>
      </c>
      <c r="H319" s="457">
        <v>455</v>
      </c>
      <c r="I319" s="410"/>
      <c r="J319" s="407"/>
      <c r="K319" s="401"/>
      <c r="L319" s="401"/>
      <c r="M319" s="401"/>
      <c r="N319" s="401"/>
      <c r="O319" s="401"/>
      <c r="P319" s="401"/>
    </row>
    <row r="320" spans="1:16" s="136" customFormat="1" ht="18.75" customHeight="1">
      <c r="A320" s="401">
        <f>SUBTOTAL(103,$C$6:C320)</f>
        <v>158</v>
      </c>
      <c r="B320" s="401"/>
      <c r="C320" s="407" t="s">
        <v>901</v>
      </c>
      <c r="D320" s="623" t="s">
        <v>79</v>
      </c>
      <c r="E320" s="623"/>
      <c r="F320" s="409"/>
      <c r="G320" s="401"/>
      <c r="H320" s="459"/>
      <c r="I320" s="410">
        <f>ROUND(H319/1000,4)+I318</f>
        <v>59.872499999999981</v>
      </c>
      <c r="J320" s="405" t="s">
        <v>50</v>
      </c>
      <c r="K320" s="401" t="s">
        <v>255</v>
      </c>
      <c r="L320" s="401" t="s">
        <v>255</v>
      </c>
      <c r="M320" s="401" t="s">
        <v>255</v>
      </c>
      <c r="N320" s="401" t="str">
        <f>VLOOKUP(C320,'Tack Welding'!$D$5:$J$94,7,0)</f>
        <v xml:space="preserve">Completed </v>
      </c>
      <c r="O320" s="401"/>
      <c r="P320" s="401"/>
    </row>
    <row r="321" spans="1:16" s="136" customFormat="1" ht="18.75" hidden="1" customHeight="1">
      <c r="A321" s="401"/>
      <c r="B321" s="401"/>
      <c r="C321" s="622"/>
      <c r="D321" s="454"/>
      <c r="E321" s="454"/>
      <c r="F321" s="404"/>
      <c r="G321" s="756" t="str">
        <f>C320</f>
        <v>29A/1</v>
      </c>
      <c r="H321" s="457">
        <v>325</v>
      </c>
      <c r="I321" s="410"/>
      <c r="J321" s="407"/>
      <c r="K321" s="401"/>
      <c r="L321" s="401"/>
      <c r="M321" s="401"/>
      <c r="N321" s="401"/>
      <c r="O321" s="401"/>
      <c r="P321" s="401"/>
    </row>
    <row r="322" spans="1:16" s="136" customFormat="1" ht="18.75" customHeight="1">
      <c r="A322" s="401">
        <f>SUBTOTAL(103,$C$6:C322)</f>
        <v>159</v>
      </c>
      <c r="B322" s="401"/>
      <c r="C322" s="407" t="s">
        <v>902</v>
      </c>
      <c r="D322" s="623" t="s">
        <v>79</v>
      </c>
      <c r="E322" s="623"/>
      <c r="F322" s="409"/>
      <c r="G322" s="401"/>
      <c r="H322" s="459"/>
      <c r="I322" s="410">
        <f>ROUND(H321/1000,4)+I320</f>
        <v>60.197499999999984</v>
      </c>
      <c r="J322" s="405" t="s">
        <v>50</v>
      </c>
      <c r="K322" s="401" t="s">
        <v>255</v>
      </c>
      <c r="L322" s="401" t="s">
        <v>255</v>
      </c>
      <c r="M322" s="401" t="s">
        <v>255</v>
      </c>
      <c r="N322" s="401" t="str">
        <f>VLOOKUP(C322,'Tack Welding'!$D$5:$J$94,7,0)</f>
        <v xml:space="preserve">Completed </v>
      </c>
      <c r="O322" s="401"/>
      <c r="P322" s="401"/>
    </row>
    <row r="323" spans="1:16" s="136" customFormat="1" ht="18.75" hidden="1" customHeight="1">
      <c r="A323" s="401"/>
      <c r="B323" s="401"/>
      <c r="C323" s="622"/>
      <c r="D323" s="454"/>
      <c r="E323" s="454"/>
      <c r="F323" s="404"/>
      <c r="G323" s="756" t="str">
        <f>C322</f>
        <v>29A/2</v>
      </c>
      <c r="H323" s="457">
        <v>395</v>
      </c>
      <c r="I323" s="410"/>
      <c r="J323" s="407"/>
      <c r="K323" s="401"/>
      <c r="L323" s="401"/>
      <c r="M323" s="401"/>
      <c r="N323" s="401"/>
      <c r="O323" s="401"/>
      <c r="P323" s="401"/>
    </row>
    <row r="324" spans="1:16" s="136" customFormat="1" ht="18.75" customHeight="1">
      <c r="A324" s="401">
        <f>SUBTOTAL(103,$C$6:C324)</f>
        <v>160</v>
      </c>
      <c r="B324" s="401"/>
      <c r="C324" s="407" t="s">
        <v>903</v>
      </c>
      <c r="D324" s="623" t="s">
        <v>79</v>
      </c>
      <c r="E324" s="623"/>
      <c r="F324" s="409"/>
      <c r="G324" s="401"/>
      <c r="H324" s="459"/>
      <c r="I324" s="410">
        <f>ROUND(H323/1000,4)+I322</f>
        <v>60.592499999999987</v>
      </c>
      <c r="J324" s="405" t="s">
        <v>50</v>
      </c>
      <c r="K324" s="401" t="s">
        <v>255</v>
      </c>
      <c r="L324" s="401" t="s">
        <v>255</v>
      </c>
      <c r="M324" s="401" t="s">
        <v>255</v>
      </c>
      <c r="N324" s="401"/>
      <c r="O324" s="401"/>
      <c r="P324" s="401"/>
    </row>
    <row r="325" spans="1:16" s="136" customFormat="1" ht="18.75" hidden="1" customHeight="1">
      <c r="A325" s="401"/>
      <c r="B325" s="401"/>
      <c r="C325" s="622"/>
      <c r="D325" s="454"/>
      <c r="E325" s="454"/>
      <c r="F325" s="404"/>
      <c r="G325" s="756" t="str">
        <f>C324</f>
        <v>29A/3</v>
      </c>
      <c r="H325" s="457">
        <v>345</v>
      </c>
      <c r="I325" s="410"/>
      <c r="J325" s="407"/>
      <c r="K325" s="401"/>
      <c r="L325" s="401"/>
      <c r="M325" s="401"/>
      <c r="N325" s="401"/>
      <c r="O325" s="401"/>
      <c r="P325" s="401"/>
    </row>
    <row r="326" spans="1:16" s="136" customFormat="1" ht="18.75" customHeight="1">
      <c r="A326" s="401">
        <f>SUBTOTAL(103,$C$6:C326)</f>
        <v>161</v>
      </c>
      <c r="B326" s="401"/>
      <c r="C326" s="407" t="s">
        <v>904</v>
      </c>
      <c r="D326" s="623" t="s">
        <v>2</v>
      </c>
      <c r="E326" s="623"/>
      <c r="F326" s="409"/>
      <c r="G326" s="401"/>
      <c r="H326" s="459"/>
      <c r="I326" s="410">
        <f>ROUND(H325/1000,4)+I324</f>
        <v>60.937499999999986</v>
      </c>
      <c r="J326" s="405" t="s">
        <v>50</v>
      </c>
      <c r="K326" s="401" t="s">
        <v>255</v>
      </c>
      <c r="L326" s="401" t="s">
        <v>255</v>
      </c>
      <c r="M326" s="401" t="s">
        <v>255</v>
      </c>
      <c r="N326" s="401"/>
      <c r="O326" s="401"/>
      <c r="P326" s="401"/>
    </row>
    <row r="327" spans="1:16" s="136" customFormat="1" ht="18.75" hidden="1" customHeight="1">
      <c r="A327" s="401"/>
      <c r="B327" s="401"/>
      <c r="C327" s="622"/>
      <c r="D327" s="454"/>
      <c r="E327" s="454"/>
      <c r="F327" s="404"/>
      <c r="G327" s="756" t="str">
        <f>C326</f>
        <v>29A/4</v>
      </c>
      <c r="H327" s="457">
        <v>345</v>
      </c>
      <c r="I327" s="410"/>
      <c r="J327" s="407"/>
      <c r="K327" s="401"/>
      <c r="L327" s="401"/>
      <c r="M327" s="401"/>
      <c r="N327" s="401"/>
      <c r="O327" s="401"/>
      <c r="P327" s="401"/>
    </row>
    <row r="328" spans="1:16" s="136" customFormat="1" ht="18.75" customHeight="1">
      <c r="A328" s="401">
        <f>SUBTOTAL(103,$C$6:C328)</f>
        <v>162</v>
      </c>
      <c r="B328" s="401"/>
      <c r="C328" s="407" t="s">
        <v>905</v>
      </c>
      <c r="D328" s="623" t="s">
        <v>79</v>
      </c>
      <c r="E328" s="623"/>
      <c r="F328" s="409"/>
      <c r="G328" s="401"/>
      <c r="H328" s="459"/>
      <c r="I328" s="410">
        <f>ROUND(H327/1000,4)+I326</f>
        <v>61.282499999999985</v>
      </c>
      <c r="J328" s="405" t="s">
        <v>50</v>
      </c>
      <c r="K328" s="401" t="s">
        <v>255</v>
      </c>
      <c r="L328" s="401" t="s">
        <v>255</v>
      </c>
      <c r="M328" s="401" t="s">
        <v>255</v>
      </c>
      <c r="N328" s="401"/>
      <c r="O328" s="401"/>
      <c r="P328" s="401"/>
    </row>
    <row r="329" spans="1:16" s="136" customFormat="1" ht="18.75" hidden="1" customHeight="1">
      <c r="A329" s="401"/>
      <c r="B329" s="401"/>
      <c r="C329" s="622"/>
      <c r="D329" s="454"/>
      <c r="E329" s="454"/>
      <c r="F329" s="404"/>
      <c r="G329" s="756" t="str">
        <f>C328</f>
        <v>29A/5</v>
      </c>
      <c r="H329" s="457">
        <v>440</v>
      </c>
      <c r="I329" s="410"/>
      <c r="J329" s="407"/>
      <c r="K329" s="401"/>
      <c r="L329" s="401"/>
      <c r="M329" s="401"/>
      <c r="N329" s="401"/>
      <c r="O329" s="401"/>
      <c r="P329" s="401"/>
    </row>
    <row r="330" spans="1:16" s="136" customFormat="1" ht="18.75" customHeight="1">
      <c r="A330" s="401">
        <f>SUBTOTAL(103,$C$6:C330)</f>
        <v>163</v>
      </c>
      <c r="B330" s="401"/>
      <c r="C330" s="407" t="s">
        <v>906</v>
      </c>
      <c r="D330" s="623" t="s">
        <v>49</v>
      </c>
      <c r="E330" s="623"/>
      <c r="F330" s="409"/>
      <c r="G330" s="401"/>
      <c r="H330" s="459"/>
      <c r="I330" s="410">
        <f>ROUND(H329/1000,4)+I328</f>
        <v>61.722499999999982</v>
      </c>
      <c r="J330" s="405" t="s">
        <v>50</v>
      </c>
      <c r="K330" s="401" t="s">
        <v>255</v>
      </c>
      <c r="L330" s="401" t="s">
        <v>255</v>
      </c>
      <c r="M330" s="401" t="s">
        <v>255</v>
      </c>
      <c r="N330" s="401" t="str">
        <f>VLOOKUP(C330,'Tack Welding'!$D$5:$J$94,7,0)</f>
        <v xml:space="preserve">Completed </v>
      </c>
      <c r="O330" s="401"/>
      <c r="P330" s="401"/>
    </row>
    <row r="331" spans="1:16" s="136" customFormat="1" ht="18.75" hidden="1" customHeight="1">
      <c r="A331" s="401"/>
      <c r="B331" s="401"/>
      <c r="C331" s="622"/>
      <c r="D331" s="454"/>
      <c r="E331" s="454"/>
      <c r="F331" s="404"/>
      <c r="G331" s="756" t="str">
        <f>C330</f>
        <v>29A/6</v>
      </c>
      <c r="H331" s="457">
        <v>364.00799999999998</v>
      </c>
      <c r="I331" s="410"/>
      <c r="J331" s="407"/>
      <c r="K331" s="401"/>
      <c r="L331" s="401"/>
      <c r="M331" s="401"/>
      <c r="N331" s="401"/>
      <c r="O331" s="401"/>
      <c r="P331" s="401"/>
    </row>
    <row r="332" spans="1:16" s="136" customFormat="1" ht="18.75" customHeight="1">
      <c r="A332" s="401">
        <f>SUBTOTAL(103,$C$6:C332)</f>
        <v>164</v>
      </c>
      <c r="B332" s="402" t="s">
        <v>567</v>
      </c>
      <c r="C332" s="407" t="s">
        <v>65</v>
      </c>
      <c r="D332" s="623" t="s">
        <v>197</v>
      </c>
      <c r="E332" s="623"/>
      <c r="F332" s="409"/>
      <c r="G332" s="401"/>
      <c r="H332" s="459"/>
      <c r="I332" s="410">
        <f>ROUND(H331/1000,4)+I330</f>
        <v>62.08649999999998</v>
      </c>
      <c r="J332" s="405" t="s">
        <v>50</v>
      </c>
      <c r="K332" s="401" t="s">
        <v>255</v>
      </c>
      <c r="L332" s="401" t="s">
        <v>255</v>
      </c>
      <c r="M332" s="401" t="s">
        <v>255</v>
      </c>
      <c r="N332" s="401"/>
      <c r="O332" s="401"/>
      <c r="P332" s="401"/>
    </row>
    <row r="333" spans="1:16" s="136" customFormat="1" ht="18.75" hidden="1" customHeight="1">
      <c r="A333" s="401"/>
      <c r="B333" s="401"/>
      <c r="C333" s="622"/>
      <c r="D333" s="454"/>
      <c r="E333" s="454"/>
      <c r="F333" s="404"/>
      <c r="G333" s="756" t="str">
        <f>C332</f>
        <v>30/0</v>
      </c>
      <c r="H333" s="457">
        <v>295.99299999999999</v>
      </c>
      <c r="I333" s="410"/>
      <c r="J333" s="407"/>
      <c r="K333" s="401"/>
      <c r="L333" s="401"/>
      <c r="M333" s="401"/>
      <c r="N333" s="401"/>
      <c r="O333" s="401"/>
      <c r="P333" s="401"/>
    </row>
    <row r="334" spans="1:16" s="136" customFormat="1" ht="18.75" customHeight="1">
      <c r="A334" s="401">
        <f>SUBTOTAL(103,$C$6:C334)</f>
        <v>165</v>
      </c>
      <c r="B334" s="401"/>
      <c r="C334" s="407" t="s">
        <v>26</v>
      </c>
      <c r="D334" s="623" t="s">
        <v>3</v>
      </c>
      <c r="E334" s="623"/>
      <c r="F334" s="409"/>
      <c r="G334" s="401"/>
      <c r="H334" s="459"/>
      <c r="I334" s="410">
        <f>ROUND(H333/1000,4)+I332</f>
        <v>62.382499999999979</v>
      </c>
      <c r="J334" s="405" t="s">
        <v>50</v>
      </c>
      <c r="K334" s="401" t="s">
        <v>255</v>
      </c>
      <c r="L334" s="401" t="s">
        <v>255</v>
      </c>
      <c r="M334" s="401" t="s">
        <v>255</v>
      </c>
      <c r="N334" s="401" t="str">
        <f>VLOOKUP(C334,'Tack Welding'!$D$5:$J$94,7,0)</f>
        <v xml:space="preserve">Completed </v>
      </c>
      <c r="O334" s="401" t="s">
        <v>964</v>
      </c>
      <c r="P334" s="401"/>
    </row>
    <row r="335" spans="1:16" s="136" customFormat="1" ht="18.75" hidden="1" customHeight="1">
      <c r="A335" s="401"/>
      <c r="B335" s="401"/>
      <c r="C335" s="622"/>
      <c r="D335" s="454"/>
      <c r="E335" s="454"/>
      <c r="F335" s="404"/>
      <c r="G335" s="756" t="str">
        <f>C334</f>
        <v>30/1</v>
      </c>
      <c r="H335" s="457">
        <v>425</v>
      </c>
      <c r="I335" s="410"/>
      <c r="J335" s="407"/>
      <c r="K335" s="401"/>
      <c r="L335" s="401"/>
      <c r="M335" s="401"/>
      <c r="N335" s="401"/>
      <c r="O335" s="401"/>
      <c r="P335" s="401"/>
    </row>
    <row r="336" spans="1:16" s="136" customFormat="1" ht="18.75" customHeight="1">
      <c r="A336" s="401">
        <f>SUBTOTAL(103,$C$6:C336)</f>
        <v>166</v>
      </c>
      <c r="B336" s="401"/>
      <c r="C336" s="407" t="s">
        <v>437</v>
      </c>
      <c r="D336" s="623" t="s">
        <v>49</v>
      </c>
      <c r="E336" s="623"/>
      <c r="F336" s="409"/>
      <c r="G336" s="401"/>
      <c r="H336" s="459"/>
      <c r="I336" s="410">
        <f>ROUND(H335/1000,4)+I334</f>
        <v>62.807499999999976</v>
      </c>
      <c r="J336" s="405" t="s">
        <v>50</v>
      </c>
      <c r="K336" s="401" t="s">
        <v>255</v>
      </c>
      <c r="L336" s="401" t="s">
        <v>255</v>
      </c>
      <c r="M336" s="401" t="s">
        <v>255</v>
      </c>
      <c r="N336" s="401"/>
      <c r="O336" s="401"/>
      <c r="P336" s="401"/>
    </row>
    <row r="337" spans="1:16" s="136" customFormat="1" ht="18.75" hidden="1" customHeight="1">
      <c r="A337" s="401"/>
      <c r="B337" s="401"/>
      <c r="C337" s="622"/>
      <c r="D337" s="454"/>
      <c r="E337" s="454"/>
      <c r="F337" s="404"/>
      <c r="G337" s="756" t="str">
        <f>C336</f>
        <v>30/2</v>
      </c>
      <c r="H337" s="457">
        <v>315</v>
      </c>
      <c r="I337" s="410"/>
      <c r="J337" s="407"/>
      <c r="K337" s="401"/>
      <c r="L337" s="401"/>
      <c r="M337" s="401"/>
      <c r="N337" s="401"/>
      <c r="O337" s="401"/>
      <c r="P337" s="401"/>
    </row>
    <row r="338" spans="1:16" s="136" customFormat="1" ht="18.75" customHeight="1">
      <c r="A338" s="401">
        <f>SUBTOTAL(103,$C$6:C338)</f>
        <v>167</v>
      </c>
      <c r="B338" s="401"/>
      <c r="C338" s="407" t="s">
        <v>438</v>
      </c>
      <c r="D338" s="623" t="s">
        <v>2</v>
      </c>
      <c r="E338" s="623"/>
      <c r="F338" s="409"/>
      <c r="G338" s="401"/>
      <c r="H338" s="459"/>
      <c r="I338" s="410">
        <f>ROUND(H337/1000,4)+I336</f>
        <v>63.122499999999974</v>
      </c>
      <c r="J338" s="405" t="s">
        <v>50</v>
      </c>
      <c r="K338" s="401" t="s">
        <v>255</v>
      </c>
      <c r="L338" s="401" t="s">
        <v>255</v>
      </c>
      <c r="M338" s="401" t="s">
        <v>255</v>
      </c>
      <c r="N338" s="401"/>
      <c r="O338" s="401"/>
      <c r="P338" s="401"/>
    </row>
    <row r="339" spans="1:16" s="136" customFormat="1" ht="18.75" hidden="1" customHeight="1">
      <c r="A339" s="401"/>
      <c r="B339" s="401"/>
      <c r="C339" s="622"/>
      <c r="D339" s="454"/>
      <c r="E339" s="454"/>
      <c r="F339" s="404"/>
      <c r="G339" s="756" t="str">
        <f>C338</f>
        <v>30/3</v>
      </c>
      <c r="H339" s="457">
        <v>380</v>
      </c>
      <c r="I339" s="410"/>
      <c r="J339" s="407"/>
      <c r="K339" s="401"/>
      <c r="L339" s="401"/>
      <c r="M339" s="401"/>
      <c r="N339" s="401"/>
      <c r="O339" s="401"/>
      <c r="P339" s="401"/>
    </row>
    <row r="340" spans="1:16" s="136" customFormat="1" ht="18.75" customHeight="1">
      <c r="A340" s="401">
        <f>SUBTOTAL(103,$C$6:C340)</f>
        <v>168</v>
      </c>
      <c r="B340" s="401"/>
      <c r="C340" s="407" t="s">
        <v>439</v>
      </c>
      <c r="D340" s="623" t="s">
        <v>49</v>
      </c>
      <c r="E340" s="623"/>
      <c r="F340" s="409"/>
      <c r="G340" s="401"/>
      <c r="H340" s="459"/>
      <c r="I340" s="410">
        <f>ROUND(H339/1000,4)+I338</f>
        <v>63.502499999999976</v>
      </c>
      <c r="J340" s="405" t="s">
        <v>50</v>
      </c>
      <c r="K340" s="401" t="s">
        <v>255</v>
      </c>
      <c r="L340" s="401" t="s">
        <v>255</v>
      </c>
      <c r="M340" s="401" t="s">
        <v>255</v>
      </c>
      <c r="N340" s="401"/>
      <c r="O340" s="401"/>
      <c r="P340" s="401"/>
    </row>
    <row r="341" spans="1:16" s="136" customFormat="1" ht="18.75" hidden="1" customHeight="1">
      <c r="A341" s="401"/>
      <c r="B341" s="401"/>
      <c r="C341" s="622"/>
      <c r="D341" s="454"/>
      <c r="E341" s="454"/>
      <c r="F341" s="404"/>
      <c r="G341" s="756" t="str">
        <f>C340</f>
        <v>30/4</v>
      </c>
      <c r="H341" s="457">
        <v>430</v>
      </c>
      <c r="I341" s="410"/>
      <c r="J341" s="407"/>
      <c r="K341" s="401"/>
      <c r="L341" s="401"/>
      <c r="M341" s="401"/>
      <c r="N341" s="401"/>
      <c r="O341" s="401"/>
      <c r="P341" s="401"/>
    </row>
    <row r="342" spans="1:16" s="136" customFormat="1" ht="18.75" customHeight="1">
      <c r="A342" s="401">
        <f>SUBTOTAL(103,$C$6:C342)</f>
        <v>169</v>
      </c>
      <c r="B342" s="401"/>
      <c r="C342" s="407" t="s">
        <v>440</v>
      </c>
      <c r="D342" s="623" t="s">
        <v>3</v>
      </c>
      <c r="E342" s="623"/>
      <c r="F342" s="409"/>
      <c r="G342" s="401"/>
      <c r="H342" s="459"/>
      <c r="I342" s="410">
        <f>ROUND(H341/1000,4)+I340</f>
        <v>63.932499999999976</v>
      </c>
      <c r="J342" s="405" t="s">
        <v>50</v>
      </c>
      <c r="K342" s="401" t="s">
        <v>255</v>
      </c>
      <c r="L342" s="401" t="s">
        <v>255</v>
      </c>
      <c r="M342" s="401" t="s">
        <v>255</v>
      </c>
      <c r="N342" s="401"/>
      <c r="O342" s="401"/>
      <c r="P342" s="401"/>
    </row>
    <row r="343" spans="1:16" s="136" customFormat="1" ht="18.75" hidden="1" customHeight="1">
      <c r="A343" s="401"/>
      <c r="B343" s="401"/>
      <c r="C343" s="622"/>
      <c r="D343" s="454"/>
      <c r="E343" s="454"/>
      <c r="F343" s="404"/>
      <c r="G343" s="756" t="str">
        <f>C342</f>
        <v>30/5</v>
      </c>
      <c r="H343" s="457">
        <v>380</v>
      </c>
      <c r="I343" s="410"/>
      <c r="J343" s="407"/>
      <c r="K343" s="401"/>
      <c r="L343" s="401"/>
      <c r="M343" s="401"/>
      <c r="N343" s="401"/>
      <c r="O343" s="401"/>
      <c r="P343" s="401"/>
    </row>
    <row r="344" spans="1:16" s="136" customFormat="1" ht="18.75" customHeight="1">
      <c r="A344" s="401">
        <f>SUBTOTAL(103,$C$6:C344)</f>
        <v>170</v>
      </c>
      <c r="B344" s="401"/>
      <c r="C344" s="407" t="s">
        <v>441</v>
      </c>
      <c r="D344" s="623" t="s">
        <v>79</v>
      </c>
      <c r="E344" s="623"/>
      <c r="F344" s="409"/>
      <c r="G344" s="401"/>
      <c r="H344" s="459"/>
      <c r="I344" s="410">
        <f>ROUND(H343/1000,4)+I342</f>
        <v>64.312499999999972</v>
      </c>
      <c r="J344" s="405" t="s">
        <v>50</v>
      </c>
      <c r="K344" s="401" t="s">
        <v>255</v>
      </c>
      <c r="L344" s="401" t="s">
        <v>255</v>
      </c>
      <c r="M344" s="401" t="s">
        <v>255</v>
      </c>
      <c r="N344" s="401"/>
      <c r="O344" s="401"/>
      <c r="P344" s="401"/>
    </row>
    <row r="345" spans="1:16" s="136" customFormat="1" ht="18.75" hidden="1" customHeight="1">
      <c r="A345" s="401"/>
      <c r="B345" s="401"/>
      <c r="C345" s="622"/>
      <c r="D345" s="454"/>
      <c r="E345" s="454"/>
      <c r="F345" s="404"/>
      <c r="G345" s="756" t="str">
        <f>C344</f>
        <v>30/6</v>
      </c>
      <c r="H345" s="457">
        <v>335</v>
      </c>
      <c r="I345" s="410"/>
      <c r="J345" s="407"/>
      <c r="K345" s="401"/>
      <c r="L345" s="401"/>
      <c r="M345" s="401"/>
      <c r="N345" s="401"/>
      <c r="O345" s="401"/>
      <c r="P345" s="401"/>
    </row>
    <row r="346" spans="1:16" s="136" customFormat="1" ht="18.75" customHeight="1">
      <c r="A346" s="401">
        <f>SUBTOTAL(103,$C$6:C346)</f>
        <v>171</v>
      </c>
      <c r="B346" s="401"/>
      <c r="C346" s="407" t="s">
        <v>442</v>
      </c>
      <c r="D346" s="623" t="s">
        <v>4</v>
      </c>
      <c r="E346" s="623"/>
      <c r="F346" s="409"/>
      <c r="G346" s="401"/>
      <c r="H346" s="459"/>
      <c r="I346" s="410">
        <f>ROUND(H345/1000,4)+I344</f>
        <v>64.647499999999965</v>
      </c>
      <c r="J346" s="405" t="s">
        <v>50</v>
      </c>
      <c r="K346" s="401" t="s">
        <v>255</v>
      </c>
      <c r="L346" s="401" t="s">
        <v>255</v>
      </c>
      <c r="M346" s="401" t="s">
        <v>255</v>
      </c>
      <c r="N346" s="401"/>
      <c r="O346" s="401"/>
      <c r="P346" s="401"/>
    </row>
    <row r="347" spans="1:16" s="136" customFormat="1" ht="18.75" hidden="1" customHeight="1">
      <c r="A347" s="401"/>
      <c r="B347" s="401"/>
      <c r="C347" s="622"/>
      <c r="D347" s="454"/>
      <c r="E347" s="454"/>
      <c r="F347" s="404"/>
      <c r="G347" s="756" t="str">
        <f>C346</f>
        <v>30/7</v>
      </c>
      <c r="H347" s="457">
        <v>395</v>
      </c>
      <c r="I347" s="410"/>
      <c r="J347" s="407"/>
      <c r="K347" s="401"/>
      <c r="L347" s="401"/>
      <c r="M347" s="401"/>
      <c r="N347" s="401"/>
      <c r="O347" s="401"/>
      <c r="P347" s="401"/>
    </row>
    <row r="348" spans="1:16" s="136" customFormat="1" ht="18.75" customHeight="1">
      <c r="A348" s="401">
        <f>SUBTOTAL(103,$C$6:C348)</f>
        <v>172</v>
      </c>
      <c r="B348" s="401"/>
      <c r="C348" s="407" t="s">
        <v>443</v>
      </c>
      <c r="D348" s="623" t="s">
        <v>2</v>
      </c>
      <c r="E348" s="623"/>
      <c r="F348" s="409"/>
      <c r="G348" s="401"/>
      <c r="H348" s="459"/>
      <c r="I348" s="410">
        <f>ROUND(H347/1000,4)+I346</f>
        <v>65.042499999999961</v>
      </c>
      <c r="J348" s="405" t="s">
        <v>50</v>
      </c>
      <c r="K348" s="401" t="s">
        <v>255</v>
      </c>
      <c r="L348" s="401" t="s">
        <v>255</v>
      </c>
      <c r="M348" s="401" t="s">
        <v>255</v>
      </c>
      <c r="N348" s="401"/>
      <c r="O348" s="401"/>
      <c r="P348" s="401"/>
    </row>
    <row r="349" spans="1:16" s="136" customFormat="1" ht="18.75" hidden="1" customHeight="1">
      <c r="A349" s="401"/>
      <c r="B349" s="401"/>
      <c r="C349" s="622"/>
      <c r="D349" s="454"/>
      <c r="E349" s="454"/>
      <c r="F349" s="404"/>
      <c r="G349" s="756" t="str">
        <f>C348</f>
        <v>30/8</v>
      </c>
      <c r="H349" s="457">
        <v>390</v>
      </c>
      <c r="I349" s="410"/>
      <c r="J349" s="407"/>
      <c r="K349" s="401"/>
      <c r="L349" s="401"/>
      <c r="M349" s="401"/>
      <c r="N349" s="401"/>
      <c r="O349" s="401"/>
      <c r="P349" s="401"/>
    </row>
    <row r="350" spans="1:16" s="136" customFormat="1" ht="18.75" customHeight="1">
      <c r="A350" s="401">
        <f>SUBTOTAL(103,$C$6:C350)</f>
        <v>173</v>
      </c>
      <c r="B350" s="401"/>
      <c r="C350" s="407" t="s">
        <v>444</v>
      </c>
      <c r="D350" s="623" t="s">
        <v>4</v>
      </c>
      <c r="E350" s="623"/>
      <c r="F350" s="409"/>
      <c r="G350" s="401"/>
      <c r="H350" s="459"/>
      <c r="I350" s="410">
        <f>ROUND(H349/1000,4)+I348</f>
        <v>65.432499999999962</v>
      </c>
      <c r="J350" s="405" t="s">
        <v>50</v>
      </c>
      <c r="K350" s="401" t="s">
        <v>255</v>
      </c>
      <c r="L350" s="401" t="s">
        <v>255</v>
      </c>
      <c r="M350" s="401" t="s">
        <v>255</v>
      </c>
      <c r="N350" s="401"/>
      <c r="O350" s="401"/>
      <c r="P350" s="401"/>
    </row>
    <row r="351" spans="1:16" s="136" customFormat="1" ht="18.75" hidden="1" customHeight="1">
      <c r="A351" s="401"/>
      <c r="B351" s="401"/>
      <c r="C351" s="622"/>
      <c r="D351" s="454"/>
      <c r="E351" s="454"/>
      <c r="F351" s="404"/>
      <c r="G351" s="756" t="str">
        <f>C350</f>
        <v>30/9</v>
      </c>
      <c r="H351" s="457">
        <v>350</v>
      </c>
      <c r="I351" s="410"/>
      <c r="J351" s="407"/>
      <c r="K351" s="401"/>
      <c r="L351" s="401"/>
      <c r="M351" s="401"/>
      <c r="N351" s="401"/>
      <c r="O351" s="401"/>
      <c r="P351" s="401"/>
    </row>
    <row r="352" spans="1:16" s="136" customFormat="1" ht="18.75" customHeight="1">
      <c r="A352" s="401">
        <f>SUBTOTAL(103,$C$6:C352)</f>
        <v>174</v>
      </c>
      <c r="B352" s="401"/>
      <c r="C352" s="407" t="s">
        <v>445</v>
      </c>
      <c r="D352" s="623" t="s">
        <v>2</v>
      </c>
      <c r="E352" s="623"/>
      <c r="F352" s="409"/>
      <c r="G352" s="401"/>
      <c r="H352" s="459"/>
      <c r="I352" s="410">
        <f>ROUND(H351/1000,4)+I350</f>
        <v>65.782499999999956</v>
      </c>
      <c r="J352" s="405" t="s">
        <v>50</v>
      </c>
      <c r="K352" s="401" t="s">
        <v>255</v>
      </c>
      <c r="L352" s="401" t="s">
        <v>255</v>
      </c>
      <c r="M352" s="401" t="s">
        <v>255</v>
      </c>
      <c r="N352" s="401"/>
      <c r="O352" s="401"/>
      <c r="P352" s="401"/>
    </row>
    <row r="353" spans="1:16" s="136" customFormat="1" ht="18.75" hidden="1" customHeight="1">
      <c r="A353" s="401"/>
      <c r="B353" s="401"/>
      <c r="C353" s="622"/>
      <c r="D353" s="454"/>
      <c r="E353" s="454"/>
      <c r="F353" s="404"/>
      <c r="G353" s="756" t="str">
        <f>C352</f>
        <v>30/10</v>
      </c>
      <c r="H353" s="457">
        <v>428.23899999999998</v>
      </c>
      <c r="I353" s="410"/>
      <c r="J353" s="407"/>
      <c r="K353" s="401"/>
      <c r="L353" s="401"/>
      <c r="M353" s="401"/>
      <c r="N353" s="401"/>
      <c r="O353" s="401"/>
      <c r="P353" s="401"/>
    </row>
    <row r="354" spans="1:16" s="136" customFormat="1" ht="18.75" customHeight="1">
      <c r="A354" s="401">
        <f>SUBTOTAL(103,$C$6:C354)</f>
        <v>175</v>
      </c>
      <c r="B354" s="402" t="s">
        <v>568</v>
      </c>
      <c r="C354" s="407" t="s">
        <v>9</v>
      </c>
      <c r="D354" s="623" t="s">
        <v>197</v>
      </c>
      <c r="E354" s="623"/>
      <c r="F354" s="409"/>
      <c r="G354" s="401"/>
      <c r="H354" s="459"/>
      <c r="I354" s="410">
        <f>ROUND(H353/1000,4)+I352</f>
        <v>66.21069999999996</v>
      </c>
      <c r="J354" s="405" t="s">
        <v>50</v>
      </c>
      <c r="K354" s="401" t="s">
        <v>255</v>
      </c>
      <c r="L354" s="401" t="s">
        <v>255</v>
      </c>
      <c r="M354" s="401" t="s">
        <v>255</v>
      </c>
      <c r="N354" s="401"/>
      <c r="O354" s="401"/>
      <c r="P354" s="401"/>
    </row>
    <row r="355" spans="1:16" s="136" customFormat="1" ht="18.75" hidden="1" customHeight="1">
      <c r="A355" s="401"/>
      <c r="B355" s="401"/>
      <c r="C355" s="622"/>
      <c r="D355" s="454"/>
      <c r="E355" s="454"/>
      <c r="F355" s="404"/>
      <c r="G355" s="756" t="str">
        <f>C354</f>
        <v>31/0</v>
      </c>
      <c r="H355" s="457">
        <v>376.76100000000002</v>
      </c>
      <c r="I355" s="410"/>
      <c r="J355" s="407"/>
      <c r="K355" s="401"/>
      <c r="L355" s="401"/>
      <c r="M355" s="401"/>
      <c r="N355" s="401"/>
      <c r="O355" s="401"/>
      <c r="P355" s="401"/>
    </row>
    <row r="356" spans="1:16" s="136" customFormat="1" ht="18.75" customHeight="1">
      <c r="A356" s="401">
        <f>SUBTOTAL(103,$C$6:C356)</f>
        <v>176</v>
      </c>
      <c r="B356" s="401"/>
      <c r="C356" s="407" t="s">
        <v>82</v>
      </c>
      <c r="D356" s="623" t="s">
        <v>2</v>
      </c>
      <c r="E356" s="623"/>
      <c r="F356" s="409"/>
      <c r="G356" s="401"/>
      <c r="H356" s="459"/>
      <c r="I356" s="410">
        <f>ROUND(H355/1000,4)+I354</f>
        <v>66.587499999999963</v>
      </c>
      <c r="J356" s="405" t="s">
        <v>50</v>
      </c>
      <c r="K356" s="401" t="s">
        <v>255</v>
      </c>
      <c r="L356" s="401" t="s">
        <v>255</v>
      </c>
      <c r="M356" s="401" t="s">
        <v>255</v>
      </c>
      <c r="N356" s="401"/>
      <c r="O356" s="401"/>
      <c r="P356" s="401"/>
    </row>
    <row r="357" spans="1:16" s="136" customFormat="1" ht="18.75" hidden="1" customHeight="1">
      <c r="A357" s="401"/>
      <c r="B357" s="401"/>
      <c r="C357" s="622"/>
      <c r="D357" s="454"/>
      <c r="E357" s="454"/>
      <c r="F357" s="404"/>
      <c r="G357" s="756" t="str">
        <f>C356</f>
        <v>31/1</v>
      </c>
      <c r="H357" s="457">
        <v>410</v>
      </c>
      <c r="I357" s="410"/>
      <c r="J357" s="407"/>
      <c r="K357" s="401"/>
      <c r="L357" s="401"/>
      <c r="M357" s="401"/>
      <c r="N357" s="401"/>
      <c r="O357" s="401"/>
      <c r="P357" s="401"/>
    </row>
    <row r="358" spans="1:16" s="136" customFormat="1" ht="18.75" customHeight="1">
      <c r="A358" s="401">
        <f>SUBTOTAL(103,$C$6:C358)</f>
        <v>177</v>
      </c>
      <c r="B358" s="401"/>
      <c r="C358" s="407" t="s">
        <v>163</v>
      </c>
      <c r="D358" s="623" t="s">
        <v>170</v>
      </c>
      <c r="E358" s="623"/>
      <c r="F358" s="409"/>
      <c r="G358" s="401"/>
      <c r="H358" s="459"/>
      <c r="I358" s="410">
        <f>ROUND(H357/1000,4)+I356</f>
        <v>66.99749999999996</v>
      </c>
      <c r="J358" s="405" t="s">
        <v>50</v>
      </c>
      <c r="K358" s="401" t="s">
        <v>255</v>
      </c>
      <c r="L358" s="401" t="s">
        <v>255</v>
      </c>
      <c r="M358" s="401" t="s">
        <v>255</v>
      </c>
      <c r="N358" s="401"/>
      <c r="O358" s="401"/>
      <c r="P358" s="401"/>
    </row>
    <row r="359" spans="1:16" s="136" customFormat="1" ht="18.75" hidden="1" customHeight="1">
      <c r="A359" s="401"/>
      <c r="B359" s="401"/>
      <c r="C359" s="622"/>
      <c r="D359" s="454"/>
      <c r="E359" s="454"/>
      <c r="F359" s="404"/>
      <c r="G359" s="756" t="str">
        <f>C358</f>
        <v>31/2</v>
      </c>
      <c r="H359" s="457">
        <v>430</v>
      </c>
      <c r="I359" s="410"/>
      <c r="J359" s="407"/>
      <c r="K359" s="401"/>
      <c r="L359" s="401"/>
      <c r="M359" s="401"/>
      <c r="N359" s="401"/>
      <c r="O359" s="401"/>
      <c r="P359" s="401"/>
    </row>
    <row r="360" spans="1:16" s="136" customFormat="1" ht="18.75" customHeight="1">
      <c r="A360" s="401">
        <f>SUBTOTAL(103,$C$6:C360)</f>
        <v>178</v>
      </c>
      <c r="B360" s="401"/>
      <c r="C360" s="407" t="s">
        <v>164</v>
      </c>
      <c r="D360" s="623" t="s">
        <v>2</v>
      </c>
      <c r="E360" s="623"/>
      <c r="F360" s="409"/>
      <c r="G360" s="401"/>
      <c r="H360" s="459"/>
      <c r="I360" s="410">
        <f>ROUND(H359/1000,4)+I358</f>
        <v>67.427499999999966</v>
      </c>
      <c r="J360" s="405" t="s">
        <v>50</v>
      </c>
      <c r="K360" s="401" t="s">
        <v>255</v>
      </c>
      <c r="L360" s="401" t="s">
        <v>255</v>
      </c>
      <c r="M360" s="401" t="s">
        <v>255</v>
      </c>
      <c r="N360" s="401"/>
      <c r="O360" s="401"/>
      <c r="P360" s="401"/>
    </row>
    <row r="361" spans="1:16" s="136" customFormat="1" ht="18.75" hidden="1" customHeight="1">
      <c r="A361" s="401"/>
      <c r="B361" s="401"/>
      <c r="C361" s="622"/>
      <c r="D361" s="454"/>
      <c r="E361" s="454"/>
      <c r="F361" s="404"/>
      <c r="G361" s="756" t="str">
        <f>C360</f>
        <v>31/3</v>
      </c>
      <c r="H361" s="457">
        <v>380</v>
      </c>
      <c r="I361" s="410"/>
      <c r="J361" s="407"/>
      <c r="K361" s="401"/>
      <c r="L361" s="401"/>
      <c r="M361" s="401"/>
      <c r="N361" s="401"/>
      <c r="O361" s="401"/>
      <c r="P361" s="401"/>
    </row>
    <row r="362" spans="1:16" s="136" customFormat="1" ht="18.75" customHeight="1">
      <c r="A362" s="401">
        <f>SUBTOTAL(103,$C$6:C362)</f>
        <v>179</v>
      </c>
      <c r="B362" s="401"/>
      <c r="C362" s="407" t="s">
        <v>446</v>
      </c>
      <c r="D362" s="623" t="s">
        <v>154</v>
      </c>
      <c r="E362" s="623"/>
      <c r="F362" s="409"/>
      <c r="G362" s="401"/>
      <c r="H362" s="459"/>
      <c r="I362" s="410">
        <f>ROUND(H361/1000,4)+I360</f>
        <v>67.807499999999962</v>
      </c>
      <c r="J362" s="405" t="s">
        <v>50</v>
      </c>
      <c r="K362" s="401" t="s">
        <v>255</v>
      </c>
      <c r="L362" s="401" t="s">
        <v>255</v>
      </c>
      <c r="M362" s="401" t="s">
        <v>255</v>
      </c>
      <c r="N362" s="401"/>
      <c r="O362" s="401"/>
      <c r="P362" s="401"/>
    </row>
    <row r="363" spans="1:16" s="136" customFormat="1" ht="18.75" hidden="1" customHeight="1">
      <c r="A363" s="401"/>
      <c r="B363" s="401"/>
      <c r="C363" s="622"/>
      <c r="D363" s="454"/>
      <c r="E363" s="454"/>
      <c r="F363" s="404"/>
      <c r="G363" s="756" t="str">
        <f>C362</f>
        <v>31/4</v>
      </c>
      <c r="H363" s="457">
        <v>445</v>
      </c>
      <c r="I363" s="410"/>
      <c r="J363" s="407"/>
      <c r="K363" s="401"/>
      <c r="L363" s="401"/>
      <c r="M363" s="401"/>
      <c r="N363" s="401"/>
      <c r="O363" s="401"/>
      <c r="P363" s="401"/>
    </row>
    <row r="364" spans="1:16" s="136" customFormat="1" ht="18.75" customHeight="1">
      <c r="A364" s="401">
        <f>SUBTOTAL(103,$C$6:C364)</f>
        <v>180</v>
      </c>
      <c r="B364" s="401"/>
      <c r="C364" s="407" t="s">
        <v>447</v>
      </c>
      <c r="D364" s="623" t="s">
        <v>79</v>
      </c>
      <c r="E364" s="623"/>
      <c r="F364" s="409"/>
      <c r="G364" s="401"/>
      <c r="H364" s="459"/>
      <c r="I364" s="410">
        <f>ROUND(H363/1000,4)+I362</f>
        <v>68.252499999999955</v>
      </c>
      <c r="J364" s="405" t="s">
        <v>50</v>
      </c>
      <c r="K364" s="401" t="s">
        <v>255</v>
      </c>
      <c r="L364" s="401" t="s">
        <v>255</v>
      </c>
      <c r="M364" s="401" t="s">
        <v>255</v>
      </c>
      <c r="N364" s="401"/>
      <c r="O364" s="401"/>
      <c r="P364" s="401"/>
    </row>
    <row r="365" spans="1:16" s="136" customFormat="1" ht="18.75" hidden="1" customHeight="1">
      <c r="A365" s="401"/>
      <c r="B365" s="401"/>
      <c r="C365" s="622"/>
      <c r="D365" s="454"/>
      <c r="E365" s="454"/>
      <c r="F365" s="404"/>
      <c r="G365" s="756" t="str">
        <f>C364</f>
        <v>31/5</v>
      </c>
      <c r="H365" s="457">
        <v>385</v>
      </c>
      <c r="I365" s="410"/>
      <c r="J365" s="407"/>
      <c r="K365" s="401"/>
      <c r="L365" s="401"/>
      <c r="M365" s="401"/>
      <c r="N365" s="401"/>
      <c r="O365" s="401"/>
      <c r="P365" s="401"/>
    </row>
    <row r="366" spans="1:16" s="136" customFormat="1" ht="18.75" customHeight="1">
      <c r="A366" s="401">
        <f>SUBTOTAL(103,$C$6:C366)</f>
        <v>181</v>
      </c>
      <c r="B366" s="401"/>
      <c r="C366" s="407" t="s">
        <v>448</v>
      </c>
      <c r="D366" s="623" t="s">
        <v>49</v>
      </c>
      <c r="E366" s="623"/>
      <c r="F366" s="409"/>
      <c r="G366" s="401"/>
      <c r="H366" s="459"/>
      <c r="I366" s="410">
        <f>ROUND(H365/1000,4)+I364</f>
        <v>68.63749999999996</v>
      </c>
      <c r="J366" s="405" t="s">
        <v>50</v>
      </c>
      <c r="K366" s="401" t="s">
        <v>255</v>
      </c>
      <c r="L366" s="401" t="s">
        <v>255</v>
      </c>
      <c r="M366" s="401" t="s">
        <v>255</v>
      </c>
      <c r="N366" s="401"/>
      <c r="O366" s="401"/>
      <c r="P366" s="401"/>
    </row>
    <row r="367" spans="1:16" s="136" customFormat="1" ht="18.75" hidden="1" customHeight="1">
      <c r="A367" s="401"/>
      <c r="B367" s="401"/>
      <c r="C367" s="622"/>
      <c r="D367" s="454"/>
      <c r="E367" s="454"/>
      <c r="F367" s="404"/>
      <c r="G367" s="756" t="str">
        <f>C366</f>
        <v>31/6</v>
      </c>
      <c r="H367" s="457">
        <v>420</v>
      </c>
      <c r="I367" s="410"/>
      <c r="J367" s="407"/>
      <c r="K367" s="401"/>
      <c r="L367" s="401"/>
      <c r="M367" s="401"/>
      <c r="N367" s="401"/>
      <c r="O367" s="401"/>
      <c r="P367" s="401"/>
    </row>
    <row r="368" spans="1:16" s="136" customFormat="1" ht="18.75" customHeight="1">
      <c r="A368" s="401">
        <f>SUBTOTAL(103,$C$6:C368)</f>
        <v>182</v>
      </c>
      <c r="B368" s="401"/>
      <c r="C368" s="407" t="s">
        <v>449</v>
      </c>
      <c r="D368" s="623" t="s">
        <v>3</v>
      </c>
      <c r="E368" s="623"/>
      <c r="F368" s="409"/>
      <c r="G368" s="401"/>
      <c r="H368" s="459"/>
      <c r="I368" s="410">
        <f>ROUND(H367/1000,4)+I366</f>
        <v>69.057499999999962</v>
      </c>
      <c r="J368" s="405" t="s">
        <v>50</v>
      </c>
      <c r="K368" s="401" t="s">
        <v>255</v>
      </c>
      <c r="L368" s="401" t="s">
        <v>255</v>
      </c>
      <c r="M368" s="401" t="s">
        <v>255</v>
      </c>
      <c r="N368" s="401"/>
      <c r="O368" s="401"/>
      <c r="P368" s="401"/>
    </row>
    <row r="369" spans="1:16" s="136" customFormat="1" ht="18.75" hidden="1" customHeight="1">
      <c r="A369" s="401"/>
      <c r="B369" s="401"/>
      <c r="C369" s="622"/>
      <c r="D369" s="454"/>
      <c r="E369" s="454"/>
      <c r="F369" s="404"/>
      <c r="G369" s="756" t="str">
        <f>C368</f>
        <v>31/7</v>
      </c>
      <c r="H369" s="457">
        <v>415</v>
      </c>
      <c r="I369" s="410"/>
      <c r="J369" s="407"/>
      <c r="K369" s="401"/>
      <c r="L369" s="401"/>
      <c r="M369" s="401"/>
      <c r="N369" s="401"/>
      <c r="O369" s="401"/>
      <c r="P369" s="401"/>
    </row>
    <row r="370" spans="1:16" s="136" customFormat="1" ht="18.75" customHeight="1">
      <c r="A370" s="401">
        <f>SUBTOTAL(103,$C$6:C370)</f>
        <v>183</v>
      </c>
      <c r="B370" s="401"/>
      <c r="C370" s="407" t="s">
        <v>450</v>
      </c>
      <c r="D370" s="623" t="s">
        <v>3</v>
      </c>
      <c r="E370" s="623"/>
      <c r="F370" s="409"/>
      <c r="G370" s="401"/>
      <c r="H370" s="459"/>
      <c r="I370" s="410">
        <f>ROUND(H369/1000,4)+I368</f>
        <v>69.472499999999968</v>
      </c>
      <c r="J370" s="405" t="s">
        <v>50</v>
      </c>
      <c r="K370" s="401" t="s">
        <v>255</v>
      </c>
      <c r="L370" s="401" t="s">
        <v>255</v>
      </c>
      <c r="M370" s="401" t="s">
        <v>255</v>
      </c>
      <c r="N370" s="401"/>
      <c r="O370" s="401"/>
      <c r="P370" s="401"/>
    </row>
    <row r="371" spans="1:16" s="136" customFormat="1" ht="18.75" hidden="1" customHeight="1">
      <c r="A371" s="401"/>
      <c r="B371" s="401"/>
      <c r="C371" s="622"/>
      <c r="D371" s="454"/>
      <c r="E371" s="454"/>
      <c r="F371" s="404"/>
      <c r="G371" s="756" t="str">
        <f>C370</f>
        <v>31/8</v>
      </c>
      <c r="H371" s="457">
        <v>310</v>
      </c>
      <c r="I371" s="410"/>
      <c r="J371" s="407"/>
      <c r="K371" s="401"/>
      <c r="L371" s="401"/>
      <c r="M371" s="401"/>
      <c r="N371" s="401"/>
      <c r="O371" s="401"/>
      <c r="P371" s="401"/>
    </row>
    <row r="372" spans="1:16" s="136" customFormat="1" ht="18.75" customHeight="1">
      <c r="A372" s="401">
        <f>SUBTOTAL(103,$C$6:C372)</f>
        <v>184</v>
      </c>
      <c r="B372" s="401"/>
      <c r="C372" s="407" t="s">
        <v>451</v>
      </c>
      <c r="D372" s="623" t="s">
        <v>170</v>
      </c>
      <c r="E372" s="623"/>
      <c r="F372" s="409"/>
      <c r="G372" s="401"/>
      <c r="H372" s="459"/>
      <c r="I372" s="410">
        <f>ROUND(H371/1000,4)+I370</f>
        <v>69.78249999999997</v>
      </c>
      <c r="J372" s="405" t="s">
        <v>50</v>
      </c>
      <c r="K372" s="401" t="s">
        <v>255</v>
      </c>
      <c r="L372" s="401" t="s">
        <v>255</v>
      </c>
      <c r="M372" s="401" t="s">
        <v>255</v>
      </c>
      <c r="N372" s="401"/>
      <c r="O372" s="401"/>
      <c r="P372" s="401"/>
    </row>
    <row r="373" spans="1:16" s="136" customFormat="1" ht="18.75" hidden="1" customHeight="1">
      <c r="A373" s="401"/>
      <c r="B373" s="401"/>
      <c r="C373" s="622"/>
      <c r="D373" s="454"/>
      <c r="E373" s="454"/>
      <c r="F373" s="404"/>
      <c r="G373" s="756" t="str">
        <f>C372</f>
        <v>31/9</v>
      </c>
      <c r="H373" s="457">
        <v>445</v>
      </c>
      <c r="I373" s="410"/>
      <c r="J373" s="407"/>
      <c r="K373" s="401"/>
      <c r="L373" s="401"/>
      <c r="M373" s="401"/>
      <c r="N373" s="401"/>
      <c r="O373" s="401"/>
      <c r="P373" s="401"/>
    </row>
    <row r="374" spans="1:16" s="136" customFormat="1" ht="18.75" customHeight="1">
      <c r="A374" s="401">
        <f>SUBTOTAL(103,$C$6:C374)</f>
        <v>185</v>
      </c>
      <c r="B374" s="401"/>
      <c r="C374" s="407" t="s">
        <v>452</v>
      </c>
      <c r="D374" s="623" t="s">
        <v>989</v>
      </c>
      <c r="E374" s="623"/>
      <c r="F374" s="409"/>
      <c r="G374" s="401"/>
      <c r="H374" s="459"/>
      <c r="I374" s="410">
        <f>ROUND(H373/1000,4)+I372</f>
        <v>70.227499999999964</v>
      </c>
      <c r="J374" s="405" t="s">
        <v>50</v>
      </c>
      <c r="K374" s="401" t="s">
        <v>255</v>
      </c>
      <c r="L374" s="401" t="s">
        <v>255</v>
      </c>
      <c r="M374" s="401" t="s">
        <v>255</v>
      </c>
      <c r="N374" s="401"/>
      <c r="O374" s="401" t="s">
        <v>964</v>
      </c>
      <c r="P374" s="401"/>
    </row>
    <row r="375" spans="1:16" s="136" customFormat="1" ht="18.75" hidden="1" customHeight="1">
      <c r="A375" s="401"/>
      <c r="B375" s="401"/>
      <c r="C375" s="622"/>
      <c r="D375" s="454"/>
      <c r="E375" s="454"/>
      <c r="F375" s="404"/>
      <c r="G375" s="756" t="str">
        <f>C374</f>
        <v>31/10</v>
      </c>
      <c r="H375" s="457">
        <v>316.608</v>
      </c>
      <c r="I375" s="410"/>
      <c r="J375" s="407"/>
      <c r="K375" s="401"/>
      <c r="L375" s="401"/>
      <c r="M375" s="401"/>
      <c r="N375" s="401"/>
      <c r="O375" s="401"/>
      <c r="P375" s="401"/>
    </row>
    <row r="376" spans="1:16" s="136" customFormat="1" ht="18.75" customHeight="1">
      <c r="A376" s="401">
        <f>SUBTOTAL(103,$C$6:C376)</f>
        <v>186</v>
      </c>
      <c r="B376" s="402" t="s">
        <v>569</v>
      </c>
      <c r="C376" s="407" t="s">
        <v>10</v>
      </c>
      <c r="D376" s="623" t="s">
        <v>184</v>
      </c>
      <c r="E376" s="623"/>
      <c r="F376" s="409"/>
      <c r="G376" s="401"/>
      <c r="H376" s="459"/>
      <c r="I376" s="410">
        <f>ROUND(H375/1000,4)+I374</f>
        <v>70.544099999999958</v>
      </c>
      <c r="J376" s="405" t="s">
        <v>50</v>
      </c>
      <c r="K376" s="401" t="s">
        <v>255</v>
      </c>
      <c r="L376" s="401" t="s">
        <v>255</v>
      </c>
      <c r="M376" s="401" t="s">
        <v>255</v>
      </c>
      <c r="N376" s="401" t="s">
        <v>964</v>
      </c>
      <c r="O376" s="401"/>
      <c r="P376" s="401"/>
    </row>
    <row r="377" spans="1:16" s="136" customFormat="1" ht="18.75" hidden="1" customHeight="1">
      <c r="A377" s="401"/>
      <c r="B377" s="401"/>
      <c r="C377" s="622"/>
      <c r="D377" s="454"/>
      <c r="E377" s="454"/>
      <c r="F377" s="404"/>
      <c r="G377" s="756" t="str">
        <f>C376</f>
        <v>32/0</v>
      </c>
      <c r="H377" s="457">
        <v>385.51</v>
      </c>
      <c r="I377" s="410"/>
      <c r="J377" s="407"/>
      <c r="K377" s="401"/>
      <c r="L377" s="401"/>
      <c r="M377" s="401"/>
      <c r="N377" s="401"/>
      <c r="O377" s="401"/>
      <c r="P377" s="401"/>
    </row>
    <row r="378" spans="1:16" s="136" customFormat="1" ht="18.75" customHeight="1">
      <c r="A378" s="401">
        <f>SUBTOTAL(103,$C$6:C378)</f>
        <v>187</v>
      </c>
      <c r="B378" s="401"/>
      <c r="C378" s="407" t="s">
        <v>66</v>
      </c>
      <c r="D378" s="623" t="s">
        <v>79</v>
      </c>
      <c r="E378" s="623"/>
      <c r="F378" s="409"/>
      <c r="G378" s="401"/>
      <c r="H378" s="457"/>
      <c r="I378" s="410">
        <f>ROUND(H377/1000,4)+I376</f>
        <v>70.929599999999951</v>
      </c>
      <c r="J378" s="405" t="s">
        <v>50</v>
      </c>
      <c r="K378" s="401" t="s">
        <v>255</v>
      </c>
      <c r="L378" s="401" t="s">
        <v>255</v>
      </c>
      <c r="M378" s="401" t="s">
        <v>255</v>
      </c>
      <c r="N378" s="401"/>
      <c r="O378" s="401"/>
      <c r="P378" s="401"/>
    </row>
    <row r="379" spans="1:16" s="136" customFormat="1" ht="18.75" hidden="1" customHeight="1">
      <c r="A379" s="401"/>
      <c r="B379" s="401"/>
      <c r="C379" s="622"/>
      <c r="D379" s="454"/>
      <c r="E379" s="454"/>
      <c r="F379" s="404"/>
      <c r="G379" s="756" t="str">
        <f>C378</f>
        <v>32/1</v>
      </c>
      <c r="H379" s="457">
        <v>410</v>
      </c>
      <c r="I379" s="410"/>
      <c r="J379" s="407"/>
      <c r="K379" s="401"/>
      <c r="L379" s="401"/>
      <c r="M379" s="401"/>
      <c r="N379" s="401"/>
      <c r="O379" s="401"/>
      <c r="P379" s="401"/>
    </row>
    <row r="380" spans="1:16" s="136" customFormat="1" ht="18.75" customHeight="1">
      <c r="A380" s="401">
        <f>SUBTOTAL(103,$C$6:C380)</f>
        <v>188</v>
      </c>
      <c r="B380" s="401"/>
      <c r="C380" s="407" t="s">
        <v>165</v>
      </c>
      <c r="D380" s="623" t="s">
        <v>49</v>
      </c>
      <c r="E380" s="623"/>
      <c r="F380" s="409"/>
      <c r="G380" s="401"/>
      <c r="H380" s="457"/>
      <c r="I380" s="410">
        <f>ROUND(H379/1000,4)+I378</f>
        <v>71.339599999999947</v>
      </c>
      <c r="J380" s="405" t="s">
        <v>50</v>
      </c>
      <c r="K380" s="401" t="s">
        <v>255</v>
      </c>
      <c r="L380" s="401" t="s">
        <v>255</v>
      </c>
      <c r="M380" s="401" t="s">
        <v>255</v>
      </c>
      <c r="N380" s="401"/>
      <c r="O380" s="401"/>
      <c r="P380" s="401"/>
    </row>
    <row r="381" spans="1:16" s="136" customFormat="1" ht="18.75" hidden="1" customHeight="1">
      <c r="A381" s="401"/>
      <c r="B381" s="401"/>
      <c r="C381" s="622"/>
      <c r="D381" s="454"/>
      <c r="E381" s="454"/>
      <c r="F381" s="404"/>
      <c r="G381" s="756" t="str">
        <f>C380</f>
        <v>32/2</v>
      </c>
      <c r="H381" s="457">
        <v>390</v>
      </c>
      <c r="I381" s="410"/>
      <c r="J381" s="407"/>
      <c r="K381" s="401"/>
      <c r="L381" s="401"/>
      <c r="M381" s="401"/>
      <c r="N381" s="401"/>
      <c r="O381" s="401"/>
      <c r="P381" s="401"/>
    </row>
    <row r="382" spans="1:16" s="136" customFormat="1" ht="18.75" customHeight="1">
      <c r="A382" s="401">
        <f>SUBTOTAL(103,$C$6:C382)</f>
        <v>189</v>
      </c>
      <c r="B382" s="401"/>
      <c r="C382" s="407" t="s">
        <v>875</v>
      </c>
      <c r="D382" s="623" t="s">
        <v>79</v>
      </c>
      <c r="E382" s="623"/>
      <c r="F382" s="409"/>
      <c r="G382" s="401"/>
      <c r="H382" s="457"/>
      <c r="I382" s="410">
        <f>ROUND(H381/1000,4)+I380</f>
        <v>71.729599999999948</v>
      </c>
      <c r="J382" s="405" t="s">
        <v>50</v>
      </c>
      <c r="K382" s="401" t="s">
        <v>255</v>
      </c>
      <c r="L382" s="401" t="s">
        <v>255</v>
      </c>
      <c r="M382" s="401" t="s">
        <v>255</v>
      </c>
      <c r="N382" s="401" t="s">
        <v>964</v>
      </c>
      <c r="O382" s="401"/>
      <c r="P382" s="401"/>
    </row>
    <row r="383" spans="1:16" s="136" customFormat="1" ht="18.75" hidden="1" customHeight="1">
      <c r="A383" s="401"/>
      <c r="B383" s="401"/>
      <c r="C383" s="622"/>
      <c r="D383" s="454"/>
      <c r="E383" s="454"/>
      <c r="F383" s="404"/>
      <c r="G383" s="756" t="str">
        <f>C382</f>
        <v>32/3</v>
      </c>
      <c r="H383" s="457">
        <v>450</v>
      </c>
      <c r="I383" s="410"/>
      <c r="J383" s="407"/>
      <c r="K383" s="401"/>
      <c r="L383" s="401"/>
      <c r="M383" s="401"/>
      <c r="N383" s="401"/>
      <c r="O383" s="401"/>
      <c r="P383" s="401"/>
    </row>
    <row r="384" spans="1:16" s="136" customFormat="1" ht="18.75" customHeight="1">
      <c r="A384" s="401">
        <f>SUBTOTAL(103,$C$6:C384)</f>
        <v>190</v>
      </c>
      <c r="B384" s="401"/>
      <c r="C384" s="407" t="s">
        <v>876</v>
      </c>
      <c r="D384" s="623" t="s">
        <v>49</v>
      </c>
      <c r="E384" s="623"/>
      <c r="F384" s="409"/>
      <c r="G384" s="401"/>
      <c r="H384" s="457"/>
      <c r="I384" s="410">
        <f>ROUND(H383/1000,4)+I382</f>
        <v>72.179599999999951</v>
      </c>
      <c r="J384" s="405" t="s">
        <v>50</v>
      </c>
      <c r="K384" s="401" t="s">
        <v>255</v>
      </c>
      <c r="L384" s="401" t="s">
        <v>255</v>
      </c>
      <c r="M384" s="401" t="s">
        <v>255</v>
      </c>
      <c r="N384" s="401" t="s">
        <v>964</v>
      </c>
      <c r="O384" s="401"/>
      <c r="P384" s="401"/>
    </row>
    <row r="385" spans="1:16" s="136" customFormat="1" ht="18.75" hidden="1" customHeight="1">
      <c r="A385" s="401"/>
      <c r="B385" s="401"/>
      <c r="C385" s="622"/>
      <c r="D385" s="454"/>
      <c r="E385" s="454"/>
      <c r="F385" s="404"/>
      <c r="G385" s="756" t="str">
        <f>C384</f>
        <v>32/4</v>
      </c>
      <c r="H385" s="457">
        <v>370</v>
      </c>
      <c r="I385" s="410"/>
      <c r="J385" s="407"/>
      <c r="K385" s="401"/>
      <c r="L385" s="401"/>
      <c r="M385" s="401"/>
      <c r="N385" s="401"/>
      <c r="O385" s="401"/>
      <c r="P385" s="401"/>
    </row>
    <row r="386" spans="1:16" s="136" customFormat="1" ht="18.75" customHeight="1">
      <c r="A386" s="401">
        <f>SUBTOTAL(103,$C$6:C386)</f>
        <v>191</v>
      </c>
      <c r="B386" s="401"/>
      <c r="C386" s="407" t="s">
        <v>877</v>
      </c>
      <c r="D386" s="623" t="s">
        <v>49</v>
      </c>
      <c r="E386" s="623"/>
      <c r="F386" s="409">
        <v>2</v>
      </c>
      <c r="G386" s="401"/>
      <c r="H386" s="457"/>
      <c r="I386" s="410">
        <f>ROUND(H385/1000,4)+I384</f>
        <v>72.549599999999955</v>
      </c>
      <c r="J386" s="405" t="s">
        <v>50</v>
      </c>
      <c r="K386" s="401" t="s">
        <v>255</v>
      </c>
      <c r="L386" s="401" t="s">
        <v>255</v>
      </c>
      <c r="M386" s="401" t="s">
        <v>255</v>
      </c>
      <c r="N386" s="401" t="s">
        <v>964</v>
      </c>
      <c r="O386" s="401"/>
      <c r="P386" s="401"/>
    </row>
    <row r="387" spans="1:16" s="136" customFormat="1" ht="18.75" hidden="1" customHeight="1">
      <c r="A387" s="401"/>
      <c r="B387" s="401"/>
      <c r="C387" s="622"/>
      <c r="D387" s="454"/>
      <c r="E387" s="454"/>
      <c r="F387" s="404"/>
      <c r="G387" s="756" t="str">
        <f>C386</f>
        <v>32/5</v>
      </c>
      <c r="H387" s="457">
        <v>439</v>
      </c>
      <c r="I387" s="410"/>
      <c r="J387" s="407"/>
      <c r="K387" s="401"/>
      <c r="L387" s="401"/>
      <c r="M387" s="401"/>
      <c r="N387" s="401"/>
      <c r="O387" s="401"/>
      <c r="P387" s="401"/>
    </row>
    <row r="388" spans="1:16" s="136" customFormat="1" ht="18.75" customHeight="1">
      <c r="A388" s="401">
        <f>SUBTOTAL(103,$C$6:C388)</f>
        <v>192</v>
      </c>
      <c r="B388" s="401"/>
      <c r="C388" s="407" t="s">
        <v>878</v>
      </c>
      <c r="D388" s="623" t="s">
        <v>49</v>
      </c>
      <c r="E388" s="623"/>
      <c r="F388" s="409">
        <v>2</v>
      </c>
      <c r="G388" s="401"/>
      <c r="H388" s="457"/>
      <c r="I388" s="410">
        <f>ROUND(H387/1000,4)+I386</f>
        <v>72.988599999999948</v>
      </c>
      <c r="J388" s="405" t="s">
        <v>50</v>
      </c>
      <c r="K388" s="401" t="s">
        <v>255</v>
      </c>
      <c r="L388" s="401" t="s">
        <v>255</v>
      </c>
      <c r="M388" s="401" t="s">
        <v>255</v>
      </c>
      <c r="N388" s="401" t="s">
        <v>964</v>
      </c>
      <c r="O388" s="401"/>
      <c r="P388" s="401"/>
    </row>
    <row r="389" spans="1:16" s="136" customFormat="1" ht="18.75" hidden="1" customHeight="1">
      <c r="A389" s="401"/>
      <c r="B389" s="401"/>
      <c r="C389" s="622"/>
      <c r="D389" s="454"/>
      <c r="E389" s="454"/>
      <c r="F389" s="404"/>
      <c r="G389" s="756" t="str">
        <f>C388</f>
        <v>32/6</v>
      </c>
      <c r="H389" s="457">
        <v>360</v>
      </c>
      <c r="I389" s="410"/>
      <c r="J389" s="407"/>
      <c r="K389" s="401"/>
      <c r="L389" s="401"/>
      <c r="M389" s="401"/>
      <c r="N389" s="401"/>
      <c r="O389" s="401"/>
      <c r="P389" s="401"/>
    </row>
    <row r="390" spans="1:16" s="136" customFormat="1" ht="18.75" customHeight="1">
      <c r="A390" s="401">
        <f>SUBTOTAL(103,$C$6:C390)</f>
        <v>193</v>
      </c>
      <c r="B390" s="401"/>
      <c r="C390" s="407" t="s">
        <v>879</v>
      </c>
      <c r="D390" s="623" t="s">
        <v>2</v>
      </c>
      <c r="E390" s="623"/>
      <c r="F390" s="409"/>
      <c r="G390" s="401"/>
      <c r="H390" s="457"/>
      <c r="I390" s="410">
        <f>ROUND(H389/1000,4)+I388</f>
        <v>73.348599999999948</v>
      </c>
      <c r="J390" s="405" t="s">
        <v>50</v>
      </c>
      <c r="K390" s="401" t="s">
        <v>255</v>
      </c>
      <c r="L390" s="401" t="s">
        <v>255</v>
      </c>
      <c r="M390" s="401" t="s">
        <v>255</v>
      </c>
      <c r="N390" s="401" t="s">
        <v>964</v>
      </c>
      <c r="O390" s="401"/>
      <c r="P390" s="401"/>
    </row>
    <row r="391" spans="1:16" s="136" customFormat="1" ht="18.75" hidden="1" customHeight="1">
      <c r="A391" s="401"/>
      <c r="B391" s="401"/>
      <c r="C391" s="622"/>
      <c r="D391" s="454"/>
      <c r="E391" s="454"/>
      <c r="F391" s="404"/>
      <c r="G391" s="756" t="str">
        <f>C390</f>
        <v>32/7</v>
      </c>
      <c r="H391" s="457">
        <v>479</v>
      </c>
      <c r="I391" s="410"/>
      <c r="J391" s="407"/>
      <c r="K391" s="401"/>
      <c r="L391" s="401"/>
      <c r="M391" s="401"/>
      <c r="N391" s="401"/>
      <c r="O391" s="401"/>
      <c r="P391" s="401"/>
    </row>
    <row r="392" spans="1:16" s="136" customFormat="1" ht="18.75" customHeight="1">
      <c r="A392" s="401">
        <f>SUBTOTAL(103,$C$6:C392)</f>
        <v>194</v>
      </c>
      <c r="B392" s="402" t="s">
        <v>907</v>
      </c>
      <c r="C392" s="407" t="s">
        <v>775</v>
      </c>
      <c r="D392" s="623" t="s">
        <v>211</v>
      </c>
      <c r="E392" s="623"/>
      <c r="F392" s="404"/>
      <c r="G392" s="401"/>
      <c r="H392" s="457"/>
      <c r="I392" s="410">
        <f>ROUND(H391/1000,4)+I390</f>
        <v>73.827599999999947</v>
      </c>
      <c r="J392" s="405" t="s">
        <v>50</v>
      </c>
      <c r="K392" s="401" t="s">
        <v>255</v>
      </c>
      <c r="L392" s="401" t="s">
        <v>255</v>
      </c>
      <c r="M392" s="401" t="s">
        <v>255</v>
      </c>
      <c r="N392" s="401" t="s">
        <v>964</v>
      </c>
      <c r="O392" s="401"/>
      <c r="P392" s="401"/>
    </row>
    <row r="393" spans="1:16" s="136" customFormat="1" ht="18.75" hidden="1" customHeight="1">
      <c r="A393" s="401"/>
      <c r="B393" s="401"/>
      <c r="C393" s="622"/>
      <c r="D393" s="454"/>
      <c r="E393" s="454"/>
      <c r="F393" s="404"/>
      <c r="G393" s="756" t="str">
        <f>C392</f>
        <v>32A/0</v>
      </c>
      <c r="H393" s="457">
        <v>402</v>
      </c>
      <c r="I393" s="410"/>
      <c r="J393" s="407"/>
      <c r="K393" s="401"/>
      <c r="L393" s="401"/>
      <c r="M393" s="401"/>
      <c r="N393" s="401"/>
      <c r="O393" s="401"/>
      <c r="P393" s="401"/>
    </row>
    <row r="394" spans="1:16" s="136" customFormat="1" ht="18.75" customHeight="1">
      <c r="A394" s="401">
        <f>SUBTOTAL(103,$C$6:C394)</f>
        <v>195</v>
      </c>
      <c r="B394" s="401"/>
      <c r="C394" s="407" t="s">
        <v>776</v>
      </c>
      <c r="D394" s="623" t="s">
        <v>79</v>
      </c>
      <c r="E394" s="623"/>
      <c r="F394" s="409"/>
      <c r="G394" s="401"/>
      <c r="H394" s="457"/>
      <c r="I394" s="410">
        <f>ROUND(H393/1000,4)+I392</f>
        <v>74.229599999999948</v>
      </c>
      <c r="J394" s="405" t="s">
        <v>50</v>
      </c>
      <c r="K394" s="401" t="s">
        <v>255</v>
      </c>
      <c r="L394" s="401" t="s">
        <v>255</v>
      </c>
      <c r="M394" s="401" t="s">
        <v>255</v>
      </c>
      <c r="N394" s="401"/>
      <c r="O394" s="401"/>
      <c r="P394" s="401"/>
    </row>
    <row r="395" spans="1:16" s="136" customFormat="1" ht="18.75" hidden="1" customHeight="1">
      <c r="A395" s="401"/>
      <c r="B395" s="401"/>
      <c r="C395" s="622"/>
      <c r="D395" s="454"/>
      <c r="E395" s="454"/>
      <c r="F395" s="404"/>
      <c r="G395" s="756" t="str">
        <f>C394</f>
        <v>32A/1</v>
      </c>
      <c r="H395" s="457">
        <v>438.43900000000002</v>
      </c>
      <c r="I395" s="410"/>
      <c r="J395" s="407"/>
      <c r="K395" s="401"/>
      <c r="L395" s="401"/>
      <c r="M395" s="401"/>
      <c r="N395" s="401"/>
      <c r="O395" s="401"/>
      <c r="P395" s="401"/>
    </row>
    <row r="396" spans="1:16" s="136" customFormat="1" ht="18.75" customHeight="1">
      <c r="A396" s="401">
        <f>SUBTOTAL(103,$C$6:C396)</f>
        <v>196</v>
      </c>
      <c r="B396" s="402" t="s">
        <v>570</v>
      </c>
      <c r="C396" s="407" t="s">
        <v>67</v>
      </c>
      <c r="D396" s="623" t="s">
        <v>211</v>
      </c>
      <c r="E396" s="623"/>
      <c r="F396" s="409">
        <v>2</v>
      </c>
      <c r="G396" s="403"/>
      <c r="H396" s="457"/>
      <c r="I396" s="410">
        <f>ROUND(H395/1000,4)+I394</f>
        <v>74.66799999999995</v>
      </c>
      <c r="J396" s="405" t="s">
        <v>50</v>
      </c>
      <c r="K396" s="401" t="s">
        <v>255</v>
      </c>
      <c r="L396" s="401" t="s">
        <v>255</v>
      </c>
      <c r="M396" s="401" t="s">
        <v>255</v>
      </c>
      <c r="N396" s="401"/>
      <c r="O396" s="401" t="s">
        <v>964</v>
      </c>
      <c r="P396" s="401"/>
    </row>
    <row r="397" spans="1:16" s="136" customFormat="1" ht="18.75" hidden="1" customHeight="1">
      <c r="A397" s="401"/>
      <c r="B397" s="401"/>
      <c r="C397" s="622"/>
      <c r="D397" s="454"/>
      <c r="E397" s="454"/>
      <c r="F397" s="404"/>
      <c r="G397" s="756" t="str">
        <f>C396</f>
        <v>33/0</v>
      </c>
      <c r="H397" s="460">
        <v>430.56</v>
      </c>
      <c r="I397" s="410"/>
      <c r="J397" s="407"/>
      <c r="K397" s="401"/>
      <c r="L397" s="401"/>
      <c r="M397" s="401"/>
      <c r="N397" s="401"/>
      <c r="O397" s="401"/>
      <c r="P397" s="401"/>
    </row>
    <row r="398" spans="1:16" s="136" customFormat="1" ht="18.75" customHeight="1">
      <c r="A398" s="401">
        <f>SUBTOTAL(103,$C$6:C398)</f>
        <v>197</v>
      </c>
      <c r="B398" s="401"/>
      <c r="C398" s="407" t="s">
        <v>68</v>
      </c>
      <c r="D398" s="623" t="s">
        <v>49</v>
      </c>
      <c r="E398" s="623"/>
      <c r="F398" s="409">
        <v>2</v>
      </c>
      <c r="G398" s="401"/>
      <c r="H398" s="457"/>
      <c r="I398" s="410">
        <f>ROUND(H397/1000,4)+I396</f>
        <v>75.098599999999948</v>
      </c>
      <c r="J398" s="405" t="s">
        <v>50</v>
      </c>
      <c r="K398" s="401" t="s">
        <v>255</v>
      </c>
      <c r="L398" s="401" t="s">
        <v>255</v>
      </c>
      <c r="M398" s="401" t="s">
        <v>255</v>
      </c>
      <c r="N398" s="401"/>
      <c r="O398" s="401"/>
      <c r="P398" s="401"/>
    </row>
    <row r="399" spans="1:16" s="136" customFormat="1" ht="18.75" hidden="1" customHeight="1">
      <c r="A399" s="401"/>
      <c r="B399" s="401"/>
      <c r="C399" s="622"/>
      <c r="D399" s="454"/>
      <c r="E399" s="454"/>
      <c r="F399" s="404"/>
      <c r="G399" s="756" t="str">
        <f>C398</f>
        <v>33/1</v>
      </c>
      <c r="H399" s="457">
        <v>406</v>
      </c>
      <c r="I399" s="410"/>
      <c r="J399" s="407"/>
      <c r="K399" s="401"/>
      <c r="L399" s="401"/>
      <c r="M399" s="401"/>
      <c r="N399" s="401"/>
      <c r="O399" s="401"/>
      <c r="P399" s="401"/>
    </row>
    <row r="400" spans="1:16" s="136" customFormat="1" ht="18.75" customHeight="1">
      <c r="A400" s="401">
        <f>SUBTOTAL(103,$C$6:C400)</f>
        <v>198</v>
      </c>
      <c r="B400" s="401"/>
      <c r="C400" s="407" t="s">
        <v>69</v>
      </c>
      <c r="D400" s="623" t="s">
        <v>49</v>
      </c>
      <c r="E400" s="623"/>
      <c r="F400" s="409"/>
      <c r="G400" s="401"/>
      <c r="H400" s="457"/>
      <c r="I400" s="410">
        <f>ROUND(H399/1000,4)+I398</f>
        <v>75.504599999999954</v>
      </c>
      <c r="J400" s="405" t="s">
        <v>50</v>
      </c>
      <c r="K400" s="401" t="s">
        <v>255</v>
      </c>
      <c r="L400" s="401" t="s">
        <v>255</v>
      </c>
      <c r="M400" s="401" t="s">
        <v>255</v>
      </c>
      <c r="N400" s="401"/>
      <c r="O400" s="401"/>
      <c r="P400" s="401"/>
    </row>
    <row r="401" spans="1:16" s="136" customFormat="1" ht="18.75" hidden="1" customHeight="1">
      <c r="A401" s="401"/>
      <c r="B401" s="401"/>
      <c r="C401" s="622"/>
      <c r="D401" s="454"/>
      <c r="E401" s="454"/>
      <c r="F401" s="404"/>
      <c r="G401" s="756" t="str">
        <f>C400</f>
        <v>33/2</v>
      </c>
      <c r="H401" s="457">
        <v>435</v>
      </c>
      <c r="I401" s="410"/>
      <c r="J401" s="407"/>
      <c r="K401" s="401"/>
      <c r="L401" s="401"/>
      <c r="M401" s="401"/>
      <c r="N401" s="401"/>
      <c r="O401" s="401"/>
      <c r="P401" s="401"/>
    </row>
    <row r="402" spans="1:16" s="136" customFormat="1" ht="18.75" customHeight="1">
      <c r="A402" s="401">
        <f>SUBTOTAL(103,$C$6:C402)</f>
        <v>199</v>
      </c>
      <c r="B402" s="401"/>
      <c r="C402" s="407" t="s">
        <v>70</v>
      </c>
      <c r="D402" s="623" t="s">
        <v>2</v>
      </c>
      <c r="E402" s="623"/>
      <c r="F402" s="409"/>
      <c r="G402" s="401"/>
      <c r="H402" s="457"/>
      <c r="I402" s="410">
        <f>ROUND(H401/1000,4)+I400</f>
        <v>75.939599999999956</v>
      </c>
      <c r="J402" s="405" t="s">
        <v>50</v>
      </c>
      <c r="K402" s="401" t="s">
        <v>255</v>
      </c>
      <c r="L402" s="401" t="s">
        <v>255</v>
      </c>
      <c r="M402" s="401" t="s">
        <v>255</v>
      </c>
      <c r="N402" s="401"/>
      <c r="O402" s="401"/>
      <c r="P402" s="401"/>
    </row>
    <row r="403" spans="1:16" s="136" customFormat="1" ht="18.75" hidden="1" customHeight="1">
      <c r="A403" s="401"/>
      <c r="B403" s="401"/>
      <c r="C403" s="622"/>
      <c r="D403" s="454"/>
      <c r="E403" s="454"/>
      <c r="F403" s="404"/>
      <c r="G403" s="756" t="str">
        <f>C402</f>
        <v>33/3</v>
      </c>
      <c r="H403" s="457">
        <v>405</v>
      </c>
      <c r="I403" s="410"/>
      <c r="J403" s="407"/>
      <c r="K403" s="401"/>
      <c r="L403" s="401"/>
      <c r="M403" s="401"/>
      <c r="N403" s="401"/>
      <c r="O403" s="401"/>
      <c r="P403" s="401"/>
    </row>
    <row r="404" spans="1:16" s="136" customFormat="1" ht="18.75" customHeight="1">
      <c r="A404" s="401">
        <f>SUBTOTAL(103,$C$6:C404)</f>
        <v>200</v>
      </c>
      <c r="B404" s="401"/>
      <c r="C404" s="407" t="s">
        <v>187</v>
      </c>
      <c r="D404" s="623" t="s">
        <v>2</v>
      </c>
      <c r="E404" s="623"/>
      <c r="F404" s="409"/>
      <c r="G404" s="401"/>
      <c r="H404" s="457"/>
      <c r="I404" s="410">
        <f>ROUND(H403/1000,4)+I402</f>
        <v>76.344599999999957</v>
      </c>
      <c r="J404" s="405" t="s">
        <v>50</v>
      </c>
      <c r="K404" s="401" t="s">
        <v>255</v>
      </c>
      <c r="L404" s="401" t="s">
        <v>255</v>
      </c>
      <c r="M404" s="401" t="s">
        <v>255</v>
      </c>
      <c r="N404" s="401"/>
      <c r="O404" s="401"/>
      <c r="P404" s="401"/>
    </row>
    <row r="405" spans="1:16" s="136" customFormat="1" ht="18.75" hidden="1" customHeight="1">
      <c r="A405" s="401"/>
      <c r="B405" s="401"/>
      <c r="C405" s="622"/>
      <c r="D405" s="454"/>
      <c r="E405" s="454"/>
      <c r="F405" s="404"/>
      <c r="G405" s="756" t="str">
        <f>C404</f>
        <v>33/4</v>
      </c>
      <c r="H405" s="457">
        <v>420</v>
      </c>
      <c r="I405" s="410"/>
      <c r="J405" s="407"/>
      <c r="K405" s="401"/>
      <c r="L405" s="401"/>
      <c r="M405" s="401"/>
      <c r="N405" s="401"/>
      <c r="O405" s="401"/>
      <c r="P405" s="401"/>
    </row>
    <row r="406" spans="1:16" s="136" customFormat="1" ht="18.75" customHeight="1">
      <c r="A406" s="401">
        <f>SUBTOTAL(103,$C$6:C406)</f>
        <v>201</v>
      </c>
      <c r="B406" s="401"/>
      <c r="C406" s="407" t="s">
        <v>571</v>
      </c>
      <c r="D406" s="623" t="s">
        <v>3</v>
      </c>
      <c r="E406" s="623"/>
      <c r="F406" s="409"/>
      <c r="G406" s="401"/>
      <c r="H406" s="457"/>
      <c r="I406" s="410">
        <f>ROUND(H405/1000,4)+I404</f>
        <v>76.764599999999959</v>
      </c>
      <c r="J406" s="405" t="s">
        <v>50</v>
      </c>
      <c r="K406" s="401" t="s">
        <v>255</v>
      </c>
      <c r="L406" s="401" t="s">
        <v>255</v>
      </c>
      <c r="M406" s="401" t="s">
        <v>255</v>
      </c>
      <c r="N406" s="401" t="str">
        <f>VLOOKUP(C406,'Tack Welding'!$D$5:$J$94,7,0)</f>
        <v xml:space="preserve">Completed </v>
      </c>
      <c r="O406" s="401"/>
      <c r="P406" s="401"/>
    </row>
    <row r="407" spans="1:16" s="136" customFormat="1" ht="18.75" hidden="1" customHeight="1">
      <c r="A407" s="401"/>
      <c r="B407" s="401"/>
      <c r="C407" s="622"/>
      <c r="D407" s="454"/>
      <c r="E407" s="454"/>
      <c r="F407" s="404"/>
      <c r="G407" s="756" t="str">
        <f>C406</f>
        <v>33/5</v>
      </c>
      <c r="H407" s="457">
        <v>405</v>
      </c>
      <c r="I407" s="410"/>
      <c r="J407" s="407"/>
      <c r="K407" s="401"/>
      <c r="L407" s="401"/>
      <c r="M407" s="401"/>
      <c r="N407" s="401"/>
      <c r="O407" s="401"/>
      <c r="P407" s="401"/>
    </row>
    <row r="408" spans="1:16" s="136" customFormat="1" ht="18.75" customHeight="1">
      <c r="A408" s="401">
        <f>SUBTOTAL(103,$C$6:C408)</f>
        <v>202</v>
      </c>
      <c r="B408" s="401"/>
      <c r="C408" s="407" t="s">
        <v>572</v>
      </c>
      <c r="D408" s="623" t="s">
        <v>79</v>
      </c>
      <c r="E408" s="623"/>
      <c r="F408" s="409"/>
      <c r="G408" s="401"/>
      <c r="H408" s="457"/>
      <c r="I408" s="410">
        <f>ROUND(H407/1000,4)+I406</f>
        <v>77.16959999999996</v>
      </c>
      <c r="J408" s="405" t="s">
        <v>50</v>
      </c>
      <c r="K408" s="401" t="s">
        <v>255</v>
      </c>
      <c r="L408" s="401" t="s">
        <v>255</v>
      </c>
      <c r="M408" s="401" t="s">
        <v>255</v>
      </c>
      <c r="N408" s="401" t="str">
        <f>VLOOKUP(C408,'Tack Welding'!$D$5:$J$94,7,0)</f>
        <v xml:space="preserve">Completed </v>
      </c>
      <c r="O408" s="401"/>
      <c r="P408" s="401"/>
    </row>
    <row r="409" spans="1:16" s="136" customFormat="1" ht="18.75" hidden="1" customHeight="1">
      <c r="A409" s="401"/>
      <c r="B409" s="401"/>
      <c r="C409" s="622"/>
      <c r="D409" s="454"/>
      <c r="E409" s="454"/>
      <c r="F409" s="404"/>
      <c r="G409" s="756" t="str">
        <f>C408</f>
        <v>33/6</v>
      </c>
      <c r="H409" s="457">
        <v>415</v>
      </c>
      <c r="I409" s="410"/>
      <c r="J409" s="407"/>
      <c r="K409" s="401"/>
      <c r="L409" s="401"/>
      <c r="M409" s="401"/>
      <c r="N409" s="401"/>
      <c r="O409" s="401"/>
      <c r="P409" s="401"/>
    </row>
    <row r="410" spans="1:16" s="136" customFormat="1" ht="18.75" customHeight="1">
      <c r="A410" s="401">
        <f>SUBTOTAL(103,$C$6:C410)</f>
        <v>203</v>
      </c>
      <c r="B410" s="401"/>
      <c r="C410" s="407" t="s">
        <v>573</v>
      </c>
      <c r="D410" s="623" t="s">
        <v>79</v>
      </c>
      <c r="E410" s="623"/>
      <c r="F410" s="409"/>
      <c r="G410" s="401"/>
      <c r="H410" s="457"/>
      <c r="I410" s="410">
        <f>ROUND(H409/1000,4)+I408</f>
        <v>77.584599999999966</v>
      </c>
      <c r="J410" s="405" t="s">
        <v>50</v>
      </c>
      <c r="K410" s="401" t="s">
        <v>255</v>
      </c>
      <c r="L410" s="401" t="s">
        <v>255</v>
      </c>
      <c r="M410" s="401" t="s">
        <v>255</v>
      </c>
      <c r="N410" s="401"/>
      <c r="O410" s="401"/>
      <c r="P410" s="401"/>
    </row>
    <row r="411" spans="1:16" s="136" customFormat="1" ht="18.75" hidden="1" customHeight="1">
      <c r="A411" s="401"/>
      <c r="B411" s="401"/>
      <c r="C411" s="622"/>
      <c r="D411" s="454"/>
      <c r="E411" s="454"/>
      <c r="F411" s="404"/>
      <c r="G411" s="756" t="str">
        <f>C410</f>
        <v>33/7</v>
      </c>
      <c r="H411" s="457">
        <v>355</v>
      </c>
      <c r="I411" s="410"/>
      <c r="J411" s="407"/>
      <c r="K411" s="401"/>
      <c r="L411" s="401"/>
      <c r="M411" s="401"/>
      <c r="N411" s="401"/>
      <c r="O411" s="401"/>
      <c r="P411" s="401"/>
    </row>
    <row r="412" spans="1:16" s="136" customFormat="1" ht="18.75" customHeight="1">
      <c r="A412" s="401">
        <f>SUBTOTAL(103,$C$6:C412)</f>
        <v>204</v>
      </c>
      <c r="B412" s="401"/>
      <c r="C412" s="407" t="s">
        <v>574</v>
      </c>
      <c r="D412" s="623" t="s">
        <v>2</v>
      </c>
      <c r="E412" s="623"/>
      <c r="F412" s="409"/>
      <c r="G412" s="401"/>
      <c r="H412" s="457"/>
      <c r="I412" s="410">
        <f>ROUND(H411/1000,4)+I410</f>
        <v>77.93959999999997</v>
      </c>
      <c r="J412" s="405" t="s">
        <v>50</v>
      </c>
      <c r="K412" s="401" t="s">
        <v>255</v>
      </c>
      <c r="L412" s="401" t="s">
        <v>255</v>
      </c>
      <c r="M412" s="401" t="s">
        <v>255</v>
      </c>
      <c r="N412" s="401" t="str">
        <f>VLOOKUP(C412,'Tack Welding'!$D$5:$J$94,7,0)</f>
        <v xml:space="preserve">Completed </v>
      </c>
      <c r="O412" s="401"/>
      <c r="P412" s="401"/>
    </row>
    <row r="413" spans="1:16" s="136" customFormat="1" ht="18.75" hidden="1" customHeight="1">
      <c r="A413" s="401"/>
      <c r="B413" s="401"/>
      <c r="C413" s="622"/>
      <c r="D413" s="454"/>
      <c r="E413" s="454"/>
      <c r="F413" s="404"/>
      <c r="G413" s="756" t="str">
        <f>C412</f>
        <v>33/8</v>
      </c>
      <c r="H413" s="457">
        <v>380</v>
      </c>
      <c r="I413" s="410"/>
      <c r="J413" s="407"/>
      <c r="K413" s="401"/>
      <c r="L413" s="401"/>
      <c r="M413" s="401"/>
      <c r="N413" s="401"/>
      <c r="O413" s="401"/>
      <c r="P413" s="401"/>
    </row>
    <row r="414" spans="1:16" s="136" customFormat="1" ht="18.75" customHeight="1">
      <c r="A414" s="401">
        <f>SUBTOTAL(103,$C$6:C414)</f>
        <v>205</v>
      </c>
      <c r="B414" s="401"/>
      <c r="C414" s="407" t="s">
        <v>575</v>
      </c>
      <c r="D414" s="623" t="s">
        <v>170</v>
      </c>
      <c r="E414" s="623"/>
      <c r="F414" s="409"/>
      <c r="G414" s="401"/>
      <c r="H414" s="457"/>
      <c r="I414" s="410">
        <f>ROUND(H413/1000,4)+I412</f>
        <v>78.319599999999966</v>
      </c>
      <c r="J414" s="405" t="s">
        <v>50</v>
      </c>
      <c r="K414" s="401" t="s">
        <v>255</v>
      </c>
      <c r="L414" s="401" t="s">
        <v>255</v>
      </c>
      <c r="M414" s="401" t="s">
        <v>255</v>
      </c>
      <c r="N414" s="401"/>
      <c r="O414" s="401"/>
      <c r="P414" s="401"/>
    </row>
    <row r="415" spans="1:16" s="136" customFormat="1" ht="18.75" hidden="1" customHeight="1">
      <c r="A415" s="401"/>
      <c r="B415" s="401"/>
      <c r="C415" s="622"/>
      <c r="D415" s="454"/>
      <c r="E415" s="454"/>
      <c r="F415" s="404"/>
      <c r="G415" s="756" t="str">
        <f>C414</f>
        <v>33/9</v>
      </c>
      <c r="H415" s="457">
        <v>398.20299999999997</v>
      </c>
      <c r="I415" s="410"/>
      <c r="J415" s="407"/>
      <c r="K415" s="401"/>
      <c r="L415" s="401"/>
      <c r="M415" s="401"/>
      <c r="N415" s="401"/>
      <c r="O415" s="401"/>
      <c r="P415" s="401"/>
    </row>
    <row r="416" spans="1:16" s="136" customFormat="1" ht="18.75" customHeight="1">
      <c r="A416" s="401">
        <f>SUBTOTAL(103,$C$6:C416)</f>
        <v>206</v>
      </c>
      <c r="B416" s="402" t="s">
        <v>576</v>
      </c>
      <c r="C416" s="407" t="s">
        <v>166</v>
      </c>
      <c r="D416" s="623" t="s">
        <v>227</v>
      </c>
      <c r="E416" s="623"/>
      <c r="F416" s="404"/>
      <c r="G416" s="403"/>
      <c r="H416" s="457"/>
      <c r="I416" s="410">
        <f>ROUND(H415/1000,4)+I414</f>
        <v>78.717799999999968</v>
      </c>
      <c r="J416" s="405" t="s">
        <v>50</v>
      </c>
      <c r="K416" s="401" t="s">
        <v>255</v>
      </c>
      <c r="L416" s="401" t="s">
        <v>255</v>
      </c>
      <c r="M416" s="401" t="s">
        <v>255</v>
      </c>
      <c r="N416" s="401" t="str">
        <f>VLOOKUP(C416,'Tack Welding'!$D$5:$J$94,7,0)</f>
        <v xml:space="preserve">Completed </v>
      </c>
      <c r="O416" s="401" t="s">
        <v>964</v>
      </c>
      <c r="P416" s="401"/>
    </row>
    <row r="417" spans="1:16" s="136" customFormat="1" ht="18.75" hidden="1" customHeight="1">
      <c r="A417" s="401"/>
      <c r="B417" s="401"/>
      <c r="C417" s="622"/>
      <c r="D417" s="454"/>
      <c r="E417" s="454"/>
      <c r="F417" s="404"/>
      <c r="G417" s="756" t="str">
        <f>C416</f>
        <v>34/0</v>
      </c>
      <c r="H417" s="456">
        <v>441.798</v>
      </c>
      <c r="I417" s="410"/>
      <c r="J417" s="407"/>
      <c r="K417" s="401"/>
      <c r="L417" s="401"/>
      <c r="M417" s="401"/>
      <c r="N417" s="401"/>
      <c r="O417" s="401"/>
      <c r="P417" s="401"/>
    </row>
    <row r="418" spans="1:16" s="136" customFormat="1" ht="18.75" customHeight="1">
      <c r="A418" s="401">
        <f>SUBTOTAL(103,$C$6:C418)</f>
        <v>207</v>
      </c>
      <c r="B418" s="401"/>
      <c r="C418" s="407" t="s">
        <v>577</v>
      </c>
      <c r="D418" s="623" t="s">
        <v>49</v>
      </c>
      <c r="E418" s="623"/>
      <c r="F418" s="409"/>
      <c r="G418" s="401"/>
      <c r="H418" s="456"/>
      <c r="I418" s="410">
        <f>ROUND(H417/1000,4)+I416</f>
        <v>79.159599999999969</v>
      </c>
      <c r="J418" s="405" t="s">
        <v>50</v>
      </c>
      <c r="K418" s="401" t="s">
        <v>255</v>
      </c>
      <c r="L418" s="401" t="s">
        <v>255</v>
      </c>
      <c r="M418" s="401" t="s">
        <v>255</v>
      </c>
      <c r="N418" s="401" t="str">
        <f>VLOOKUP(C418,'Tack Welding'!$D$5:$J$94,7,0)</f>
        <v xml:space="preserve">Completed </v>
      </c>
      <c r="O418" s="401"/>
      <c r="P418" s="401"/>
    </row>
    <row r="419" spans="1:16" s="136" customFormat="1" ht="18.75" hidden="1" customHeight="1">
      <c r="A419" s="401"/>
      <c r="B419" s="401"/>
      <c r="C419" s="622"/>
      <c r="D419" s="454"/>
      <c r="E419" s="454"/>
      <c r="F419" s="404"/>
      <c r="G419" s="756" t="str">
        <f>C418</f>
        <v>34/1</v>
      </c>
      <c r="H419" s="456">
        <v>395</v>
      </c>
      <c r="I419" s="410"/>
      <c r="J419" s="407"/>
      <c r="K419" s="401"/>
      <c r="L419" s="401"/>
      <c r="M419" s="401"/>
      <c r="N419" s="401"/>
      <c r="O419" s="401"/>
      <c r="P419" s="401"/>
    </row>
    <row r="420" spans="1:16" s="136" customFormat="1" ht="18.75" customHeight="1">
      <c r="A420" s="401">
        <f>SUBTOTAL(103,$C$6:C420)</f>
        <v>208</v>
      </c>
      <c r="B420" s="401"/>
      <c r="C420" s="407" t="s">
        <v>578</v>
      </c>
      <c r="D420" s="623" t="s">
        <v>49</v>
      </c>
      <c r="E420" s="623"/>
      <c r="F420" s="409"/>
      <c r="G420" s="401"/>
      <c r="H420" s="456"/>
      <c r="I420" s="410">
        <f>ROUND(H419/1000,4)+I418</f>
        <v>79.554599999999965</v>
      </c>
      <c r="J420" s="405" t="s">
        <v>50</v>
      </c>
      <c r="K420" s="401" t="s">
        <v>255</v>
      </c>
      <c r="L420" s="401" t="s">
        <v>255</v>
      </c>
      <c r="M420" s="401" t="s">
        <v>255</v>
      </c>
      <c r="N420" s="401" t="str">
        <f>VLOOKUP(C420,'Tack Welding'!$D$5:$J$94,7,0)</f>
        <v xml:space="preserve">Completed </v>
      </c>
      <c r="O420" s="401"/>
      <c r="P420" s="401"/>
    </row>
    <row r="421" spans="1:16" s="136" customFormat="1" ht="18.75" hidden="1" customHeight="1">
      <c r="A421" s="401"/>
      <c r="B421" s="401"/>
      <c r="C421" s="622"/>
      <c r="D421" s="454"/>
      <c r="E421" s="454"/>
      <c r="F421" s="404"/>
      <c r="G421" s="756" t="str">
        <f>C420</f>
        <v>34/2</v>
      </c>
      <c r="H421" s="456">
        <v>375</v>
      </c>
      <c r="I421" s="410"/>
      <c r="J421" s="407"/>
      <c r="K421" s="401"/>
      <c r="L421" s="401"/>
      <c r="M421" s="401"/>
      <c r="N421" s="401"/>
      <c r="O421" s="401"/>
      <c r="P421" s="401"/>
    </row>
    <row r="422" spans="1:16" s="136" customFormat="1" ht="18.75" customHeight="1">
      <c r="A422" s="401">
        <f>SUBTOTAL(103,$C$6:C422)</f>
        <v>209</v>
      </c>
      <c r="B422" s="401"/>
      <c r="C422" s="407" t="s">
        <v>579</v>
      </c>
      <c r="D422" s="623" t="s">
        <v>170</v>
      </c>
      <c r="E422" s="623"/>
      <c r="F422" s="409"/>
      <c r="G422" s="401"/>
      <c r="H422" s="456"/>
      <c r="I422" s="410">
        <f>ROUND(H421/1000,4)+I420</f>
        <v>79.929599999999965</v>
      </c>
      <c r="J422" s="405" t="s">
        <v>50</v>
      </c>
      <c r="K422" s="401" t="s">
        <v>255</v>
      </c>
      <c r="L422" s="401" t="s">
        <v>255</v>
      </c>
      <c r="M422" s="401" t="s">
        <v>255</v>
      </c>
      <c r="N422" s="401" t="str">
        <f>VLOOKUP(C422,'Tack Welding'!$D$5:$J$94,7,0)</f>
        <v xml:space="preserve">Completed </v>
      </c>
      <c r="O422" s="401"/>
      <c r="P422" s="401"/>
    </row>
    <row r="423" spans="1:16" s="136" customFormat="1" ht="18.75" hidden="1" customHeight="1">
      <c r="A423" s="401"/>
      <c r="B423" s="401"/>
      <c r="C423" s="622"/>
      <c r="D423" s="454"/>
      <c r="E423" s="454"/>
      <c r="F423" s="404"/>
      <c r="G423" s="756" t="str">
        <f>C422</f>
        <v>34/3</v>
      </c>
      <c r="H423" s="456">
        <v>445</v>
      </c>
      <c r="I423" s="410"/>
      <c r="J423" s="407"/>
      <c r="K423" s="401"/>
      <c r="L423" s="401"/>
      <c r="M423" s="401"/>
      <c r="N423" s="401"/>
      <c r="O423" s="401"/>
      <c r="P423" s="401"/>
    </row>
    <row r="424" spans="1:16" s="136" customFormat="1" ht="18.75" customHeight="1">
      <c r="A424" s="401">
        <f>SUBTOTAL(103,$C$6:C424)</f>
        <v>210</v>
      </c>
      <c r="B424" s="401"/>
      <c r="C424" s="407" t="s">
        <v>580</v>
      </c>
      <c r="D424" s="623" t="s">
        <v>79</v>
      </c>
      <c r="E424" s="623"/>
      <c r="F424" s="409"/>
      <c r="G424" s="401"/>
      <c r="H424" s="456"/>
      <c r="I424" s="410">
        <f>ROUND(H423/1000,4)+I422</f>
        <v>80.374599999999958</v>
      </c>
      <c r="J424" s="405" t="s">
        <v>50</v>
      </c>
      <c r="K424" s="401" t="s">
        <v>255</v>
      </c>
      <c r="L424" s="401" t="s">
        <v>255</v>
      </c>
      <c r="M424" s="401" t="s">
        <v>255</v>
      </c>
      <c r="N424" s="401" t="str">
        <f>VLOOKUP(C424,'Tack Welding'!$D$5:$J$94,7,0)</f>
        <v xml:space="preserve">Completed </v>
      </c>
      <c r="O424" s="401"/>
      <c r="P424" s="401"/>
    </row>
    <row r="425" spans="1:16" s="136" customFormat="1" ht="18.75" hidden="1" customHeight="1">
      <c r="A425" s="401"/>
      <c r="B425" s="401"/>
      <c r="C425" s="622"/>
      <c r="D425" s="454"/>
      <c r="E425" s="454"/>
      <c r="F425" s="404"/>
      <c r="G425" s="756" t="str">
        <f>C424</f>
        <v>34/4</v>
      </c>
      <c r="H425" s="456">
        <v>395</v>
      </c>
      <c r="I425" s="410"/>
      <c r="J425" s="407"/>
      <c r="K425" s="401"/>
      <c r="L425" s="401"/>
      <c r="M425" s="401"/>
      <c r="N425" s="401"/>
      <c r="O425" s="401"/>
      <c r="P425" s="401"/>
    </row>
    <row r="426" spans="1:16" s="136" customFormat="1" ht="18.75" customHeight="1">
      <c r="A426" s="401">
        <f>SUBTOTAL(103,$C$6:C426)</f>
        <v>211</v>
      </c>
      <c r="B426" s="401"/>
      <c r="C426" s="407" t="s">
        <v>581</v>
      </c>
      <c r="D426" s="623" t="s">
        <v>49</v>
      </c>
      <c r="E426" s="623"/>
      <c r="F426" s="409"/>
      <c r="G426" s="401"/>
      <c r="H426" s="456"/>
      <c r="I426" s="410">
        <f>ROUND(H425/1000,4)+I424</f>
        <v>80.769599999999954</v>
      </c>
      <c r="J426" s="405" t="s">
        <v>50</v>
      </c>
      <c r="K426" s="401" t="s">
        <v>255</v>
      </c>
      <c r="L426" s="401" t="s">
        <v>255</v>
      </c>
      <c r="M426" s="401" t="s">
        <v>255</v>
      </c>
      <c r="N426" s="401" t="str">
        <f>VLOOKUP(C426,'Tack Welding'!$D$5:$J$94,7,0)</f>
        <v xml:space="preserve">Completed </v>
      </c>
      <c r="O426" s="401"/>
      <c r="P426" s="401"/>
    </row>
    <row r="427" spans="1:16" s="136" customFormat="1" ht="18.75" hidden="1" customHeight="1">
      <c r="A427" s="401"/>
      <c r="B427" s="401"/>
      <c r="C427" s="622"/>
      <c r="D427" s="454"/>
      <c r="E427" s="454"/>
      <c r="F427" s="404"/>
      <c r="G427" s="756" t="str">
        <f>C426</f>
        <v>34/5</v>
      </c>
      <c r="H427" s="456">
        <v>435</v>
      </c>
      <c r="I427" s="410"/>
      <c r="J427" s="407"/>
      <c r="K427" s="401"/>
      <c r="L427" s="401"/>
      <c r="M427" s="401"/>
      <c r="N427" s="401"/>
      <c r="O427" s="401"/>
      <c r="P427" s="401"/>
    </row>
    <row r="428" spans="1:16" s="136" customFormat="1" ht="18.75" customHeight="1">
      <c r="A428" s="401">
        <f>SUBTOTAL(103,$C$6:C428)</f>
        <v>212</v>
      </c>
      <c r="B428" s="401"/>
      <c r="C428" s="407" t="s">
        <v>582</v>
      </c>
      <c r="D428" s="623" t="s">
        <v>2</v>
      </c>
      <c r="E428" s="623"/>
      <c r="F428" s="409"/>
      <c r="G428" s="401"/>
      <c r="H428" s="456"/>
      <c r="I428" s="410">
        <f>ROUND(H427/1000,4)+I426</f>
        <v>81.204599999999957</v>
      </c>
      <c r="J428" s="405" t="s">
        <v>50</v>
      </c>
      <c r="K428" s="401" t="s">
        <v>255</v>
      </c>
      <c r="L428" s="401" t="s">
        <v>255</v>
      </c>
      <c r="M428" s="401" t="s">
        <v>255</v>
      </c>
      <c r="N428" s="401" t="str">
        <f>VLOOKUP(C428,'Tack Welding'!$D$5:$J$94,7,0)</f>
        <v xml:space="preserve">Completed </v>
      </c>
      <c r="O428" s="401"/>
      <c r="P428" s="401"/>
    </row>
    <row r="429" spans="1:16" s="136" customFormat="1" ht="18.75" hidden="1" customHeight="1">
      <c r="A429" s="401"/>
      <c r="B429" s="401"/>
      <c r="C429" s="622"/>
      <c r="D429" s="454"/>
      <c r="E429" s="454"/>
      <c r="F429" s="404"/>
      <c r="G429" s="756" t="str">
        <f>C428</f>
        <v>34/6</v>
      </c>
      <c r="H429" s="456">
        <v>330</v>
      </c>
      <c r="I429" s="410"/>
      <c r="J429" s="407"/>
      <c r="K429" s="401"/>
      <c r="L429" s="401"/>
      <c r="M429" s="401"/>
      <c r="N429" s="401"/>
      <c r="O429" s="401"/>
      <c r="P429" s="401"/>
    </row>
    <row r="430" spans="1:16" s="136" customFormat="1" ht="18.75" customHeight="1">
      <c r="A430" s="401">
        <f>SUBTOTAL(103,$C$6:C430)</f>
        <v>213</v>
      </c>
      <c r="B430" s="401"/>
      <c r="C430" s="407" t="s">
        <v>583</v>
      </c>
      <c r="D430" s="623" t="s">
        <v>3</v>
      </c>
      <c r="E430" s="623"/>
      <c r="F430" s="409"/>
      <c r="G430" s="401"/>
      <c r="H430" s="456"/>
      <c r="I430" s="410">
        <f>ROUND(H429/1000,4)+I428</f>
        <v>81.534599999999955</v>
      </c>
      <c r="J430" s="405" t="s">
        <v>50</v>
      </c>
      <c r="K430" s="401" t="s">
        <v>255</v>
      </c>
      <c r="L430" s="401" t="s">
        <v>255</v>
      </c>
      <c r="M430" s="401" t="s">
        <v>255</v>
      </c>
      <c r="N430" s="401" t="str">
        <f>VLOOKUP(C430,'Tack Welding'!$D$5:$J$94,7,0)</f>
        <v xml:space="preserve">Completed </v>
      </c>
      <c r="O430" s="401"/>
      <c r="P430" s="401"/>
    </row>
    <row r="431" spans="1:16" s="136" customFormat="1" ht="18.75" hidden="1" customHeight="1">
      <c r="A431" s="401"/>
      <c r="B431" s="401"/>
      <c r="C431" s="622"/>
      <c r="D431" s="454"/>
      <c r="E431" s="454"/>
      <c r="F431" s="404"/>
      <c r="G431" s="756" t="str">
        <f>C430</f>
        <v>34/7</v>
      </c>
      <c r="H431" s="456">
        <v>330</v>
      </c>
      <c r="I431" s="410"/>
      <c r="J431" s="407"/>
      <c r="K431" s="401"/>
      <c r="L431" s="401"/>
      <c r="M431" s="401"/>
      <c r="N431" s="401"/>
      <c r="O431" s="401"/>
      <c r="P431" s="401"/>
    </row>
    <row r="432" spans="1:16" s="136" customFormat="1" ht="18.75" customHeight="1">
      <c r="A432" s="401">
        <f>SUBTOTAL(103,$C$6:C432)</f>
        <v>214</v>
      </c>
      <c r="B432" s="401"/>
      <c r="C432" s="407" t="s">
        <v>584</v>
      </c>
      <c r="D432" s="623" t="s">
        <v>3</v>
      </c>
      <c r="E432" s="623"/>
      <c r="F432" s="409"/>
      <c r="G432" s="401"/>
      <c r="H432" s="456"/>
      <c r="I432" s="410">
        <f>ROUND(H431/1000,4)+I430</f>
        <v>81.864599999999953</v>
      </c>
      <c r="J432" s="405" t="s">
        <v>50</v>
      </c>
      <c r="K432" s="401" t="s">
        <v>255</v>
      </c>
      <c r="L432" s="401" t="s">
        <v>255</v>
      </c>
      <c r="M432" s="401" t="s">
        <v>255</v>
      </c>
      <c r="N432" s="401" t="str">
        <f>VLOOKUP(C432,'Tack Welding'!$D$5:$J$94,7,0)</f>
        <v xml:space="preserve">Completed </v>
      </c>
      <c r="O432" s="401"/>
      <c r="P432" s="401"/>
    </row>
    <row r="433" spans="1:16" s="136" customFormat="1" ht="18.75" hidden="1" customHeight="1">
      <c r="A433" s="401"/>
      <c r="B433" s="401"/>
      <c r="C433" s="622"/>
      <c r="D433" s="454"/>
      <c r="E433" s="454"/>
      <c r="F433" s="404"/>
      <c r="G433" s="756" t="str">
        <f>C432</f>
        <v>34/8</v>
      </c>
      <c r="H433" s="456">
        <v>400</v>
      </c>
      <c r="I433" s="410"/>
      <c r="J433" s="407"/>
      <c r="K433" s="401"/>
      <c r="L433" s="401"/>
      <c r="M433" s="401"/>
      <c r="N433" s="401"/>
      <c r="O433" s="401"/>
      <c r="P433" s="401"/>
    </row>
    <row r="434" spans="1:16" s="136" customFormat="1" ht="18.75" customHeight="1">
      <c r="A434" s="401">
        <f>SUBTOTAL(103,$C$6:C434)</f>
        <v>215</v>
      </c>
      <c r="B434" s="401"/>
      <c r="C434" s="407" t="s">
        <v>585</v>
      </c>
      <c r="D434" s="623" t="s">
        <v>170</v>
      </c>
      <c r="E434" s="623"/>
      <c r="F434" s="409"/>
      <c r="G434" s="401"/>
      <c r="H434" s="456"/>
      <c r="I434" s="410">
        <f>ROUND(H433/1000,4)+I432</f>
        <v>82.264599999999959</v>
      </c>
      <c r="J434" s="405" t="s">
        <v>50</v>
      </c>
      <c r="K434" s="401" t="s">
        <v>255</v>
      </c>
      <c r="L434" s="401" t="s">
        <v>255</v>
      </c>
      <c r="M434" s="401" t="s">
        <v>255</v>
      </c>
      <c r="N434" s="401" t="str">
        <f>VLOOKUP(C434,'Tack Welding'!$D$5:$J$94,7,0)</f>
        <v xml:space="preserve">Completed </v>
      </c>
      <c r="O434" s="401"/>
      <c r="P434" s="401"/>
    </row>
    <row r="435" spans="1:16" s="136" customFormat="1" ht="18.75" hidden="1" customHeight="1">
      <c r="A435" s="401"/>
      <c r="B435" s="401"/>
      <c r="C435" s="622"/>
      <c r="D435" s="454"/>
      <c r="E435" s="454"/>
      <c r="F435" s="404"/>
      <c r="G435" s="756" t="str">
        <f>C434</f>
        <v>34/9</v>
      </c>
      <c r="H435" s="456">
        <v>310</v>
      </c>
      <c r="I435" s="410"/>
      <c r="J435" s="407"/>
      <c r="K435" s="401"/>
      <c r="L435" s="401"/>
      <c r="M435" s="401"/>
      <c r="N435" s="401"/>
      <c r="O435" s="401"/>
      <c r="P435" s="401"/>
    </row>
    <row r="436" spans="1:16" s="136" customFormat="1" ht="18.75" customHeight="1">
      <c r="A436" s="401">
        <f>SUBTOTAL(103,$C$6:C436)</f>
        <v>216</v>
      </c>
      <c r="B436" s="401"/>
      <c r="C436" s="407" t="s">
        <v>586</v>
      </c>
      <c r="D436" s="623" t="s">
        <v>4</v>
      </c>
      <c r="E436" s="623"/>
      <c r="F436" s="409"/>
      <c r="G436" s="401"/>
      <c r="H436" s="456"/>
      <c r="I436" s="410">
        <f>ROUND(H435/1000,4)+I434</f>
        <v>82.574599999999961</v>
      </c>
      <c r="J436" s="405" t="s">
        <v>50</v>
      </c>
      <c r="K436" s="401" t="s">
        <v>255</v>
      </c>
      <c r="L436" s="401" t="s">
        <v>255</v>
      </c>
      <c r="M436" s="401" t="s">
        <v>255</v>
      </c>
      <c r="N436" s="401" t="str">
        <f>VLOOKUP(C436,'Tack Welding'!$D$5:$J$94,7,0)</f>
        <v xml:space="preserve">Completed </v>
      </c>
      <c r="O436" s="401"/>
      <c r="P436" s="401"/>
    </row>
    <row r="437" spans="1:16" s="136" customFormat="1" ht="18.75" hidden="1" customHeight="1">
      <c r="A437" s="401"/>
      <c r="B437" s="401"/>
      <c r="C437" s="622"/>
      <c r="D437" s="454"/>
      <c r="E437" s="454"/>
      <c r="F437" s="404"/>
      <c r="G437" s="756" t="str">
        <f>C436</f>
        <v>34/10</v>
      </c>
      <c r="H437" s="456">
        <v>325</v>
      </c>
      <c r="I437" s="410"/>
      <c r="J437" s="407"/>
      <c r="K437" s="401"/>
      <c r="L437" s="401"/>
      <c r="M437" s="401"/>
      <c r="N437" s="401"/>
      <c r="O437" s="401"/>
      <c r="P437" s="401"/>
    </row>
    <row r="438" spans="1:16" s="136" customFormat="1" ht="18.75" customHeight="1">
      <c r="A438" s="401">
        <f>SUBTOTAL(103,$C$6:C438)</f>
        <v>217</v>
      </c>
      <c r="B438" s="401"/>
      <c r="C438" s="407" t="s">
        <v>587</v>
      </c>
      <c r="D438" s="623" t="s">
        <v>170</v>
      </c>
      <c r="E438" s="623"/>
      <c r="F438" s="409"/>
      <c r="G438" s="401"/>
      <c r="H438" s="456"/>
      <c r="I438" s="410">
        <f>ROUND(H437/1000,4)+I436</f>
        <v>82.899599999999964</v>
      </c>
      <c r="J438" s="405" t="s">
        <v>50</v>
      </c>
      <c r="K438" s="401" t="s">
        <v>255</v>
      </c>
      <c r="L438" s="401" t="s">
        <v>255</v>
      </c>
      <c r="M438" s="401" t="s">
        <v>255</v>
      </c>
      <c r="N438" s="401" t="str">
        <f>VLOOKUP(C438,'Tack Welding'!$D$5:$J$94,7,0)</f>
        <v xml:space="preserve">Completed </v>
      </c>
      <c r="O438" s="401"/>
      <c r="P438" s="401"/>
    </row>
    <row r="439" spans="1:16" s="136" customFormat="1" ht="18.75" hidden="1" customHeight="1">
      <c r="A439" s="401"/>
      <c r="B439" s="401"/>
      <c r="C439" s="622"/>
      <c r="D439" s="454"/>
      <c r="E439" s="454"/>
      <c r="F439" s="404"/>
      <c r="G439" s="756" t="str">
        <f>C438</f>
        <v>34/11</v>
      </c>
      <c r="H439" s="456">
        <v>365</v>
      </c>
      <c r="I439" s="410"/>
      <c r="J439" s="407"/>
      <c r="K439" s="401"/>
      <c r="L439" s="401"/>
      <c r="M439" s="401"/>
      <c r="N439" s="401"/>
      <c r="O439" s="401"/>
      <c r="P439" s="401"/>
    </row>
    <row r="440" spans="1:16" s="136" customFormat="1" ht="18.75" customHeight="1">
      <c r="A440" s="401">
        <f>SUBTOTAL(103,$C$6:C440)</f>
        <v>218</v>
      </c>
      <c r="B440" s="401"/>
      <c r="C440" s="407" t="s">
        <v>588</v>
      </c>
      <c r="D440" s="623" t="s">
        <v>2</v>
      </c>
      <c r="E440" s="623"/>
      <c r="F440" s="409"/>
      <c r="G440" s="401"/>
      <c r="H440" s="456"/>
      <c r="I440" s="410">
        <f>ROUND(H439/1000,4)+I438</f>
        <v>83.264599999999959</v>
      </c>
      <c r="J440" s="405" t="s">
        <v>50</v>
      </c>
      <c r="K440" s="401" t="s">
        <v>255</v>
      </c>
      <c r="L440" s="401" t="s">
        <v>255</v>
      </c>
      <c r="M440" s="401" t="s">
        <v>255</v>
      </c>
      <c r="N440" s="401" t="str">
        <f>VLOOKUP(C440,'Tack Welding'!$D$5:$J$94,7,0)</f>
        <v xml:space="preserve">Completed </v>
      </c>
      <c r="O440" s="401"/>
      <c r="P440" s="401"/>
    </row>
    <row r="441" spans="1:16" s="136" customFormat="1" ht="18.75" hidden="1" customHeight="1">
      <c r="A441" s="401"/>
      <c r="B441" s="401"/>
      <c r="C441" s="622"/>
      <c r="D441" s="454"/>
      <c r="E441" s="454"/>
      <c r="F441" s="404"/>
      <c r="G441" s="756" t="str">
        <f>C440</f>
        <v>34/12</v>
      </c>
      <c r="H441" s="456">
        <v>351.79</v>
      </c>
      <c r="I441" s="410"/>
      <c r="J441" s="407"/>
      <c r="K441" s="401"/>
      <c r="L441" s="401"/>
      <c r="M441" s="401"/>
      <c r="N441" s="401"/>
      <c r="O441" s="401"/>
      <c r="P441" s="401"/>
    </row>
    <row r="442" spans="1:16" s="136" customFormat="1" ht="18.75" customHeight="1">
      <c r="A442" s="401">
        <f>SUBTOTAL(103,$C$6:C442)</f>
        <v>219</v>
      </c>
      <c r="B442" s="402" t="s">
        <v>589</v>
      </c>
      <c r="C442" s="407" t="s">
        <v>71</v>
      </c>
      <c r="D442" s="623" t="s">
        <v>184</v>
      </c>
      <c r="E442" s="623"/>
      <c r="F442" s="404"/>
      <c r="G442" s="403"/>
      <c r="H442" s="456"/>
      <c r="I442" s="410">
        <f>ROUND(H441/1000,4)+I440</f>
        <v>83.616399999999956</v>
      </c>
      <c r="J442" s="405" t="s">
        <v>50</v>
      </c>
      <c r="K442" s="401" t="s">
        <v>255</v>
      </c>
      <c r="L442" s="401" t="s">
        <v>255</v>
      </c>
      <c r="M442" s="401" t="s">
        <v>255</v>
      </c>
      <c r="N442" s="401" t="str">
        <f>VLOOKUP(C442,'Tack Welding'!$D$5:$J$94,7,0)</f>
        <v xml:space="preserve">Completed </v>
      </c>
      <c r="O442" s="401" t="s">
        <v>964</v>
      </c>
      <c r="P442" s="401"/>
    </row>
    <row r="443" spans="1:16" s="136" customFormat="1" ht="18.75" hidden="1" customHeight="1">
      <c r="A443" s="401"/>
      <c r="B443" s="401"/>
      <c r="C443" s="622"/>
      <c r="D443" s="454"/>
      <c r="E443" s="454"/>
      <c r="F443" s="404"/>
      <c r="G443" s="756" t="str">
        <f>C442</f>
        <v>35/0</v>
      </c>
      <c r="H443" s="456">
        <v>393.209</v>
      </c>
      <c r="I443" s="410"/>
      <c r="J443" s="407"/>
      <c r="K443" s="401"/>
      <c r="L443" s="401"/>
      <c r="M443" s="401"/>
      <c r="N443" s="401"/>
      <c r="O443" s="401"/>
      <c r="P443" s="401"/>
    </row>
    <row r="444" spans="1:16" s="136" customFormat="1" ht="18.75" customHeight="1">
      <c r="A444" s="401">
        <f>SUBTOTAL(103,$C$6:C444)</f>
        <v>220</v>
      </c>
      <c r="B444" s="401"/>
      <c r="C444" s="407" t="s">
        <v>590</v>
      </c>
      <c r="D444" s="623" t="s">
        <v>79</v>
      </c>
      <c r="E444" s="623"/>
      <c r="F444" s="409"/>
      <c r="G444" s="401"/>
      <c r="H444" s="456"/>
      <c r="I444" s="410">
        <f>ROUND(H443/1000,4)+I442</f>
        <v>84.009599999999949</v>
      </c>
      <c r="J444" s="405" t="s">
        <v>50</v>
      </c>
      <c r="K444" s="401" t="s">
        <v>255</v>
      </c>
      <c r="L444" s="401" t="s">
        <v>255</v>
      </c>
      <c r="M444" s="401" t="s">
        <v>255</v>
      </c>
      <c r="N444" s="401" t="str">
        <f>VLOOKUP(C444,'Tack Welding'!$D$5:$J$94,7,0)</f>
        <v xml:space="preserve">Completed </v>
      </c>
      <c r="O444" s="401"/>
      <c r="P444" s="401"/>
    </row>
    <row r="445" spans="1:16" s="136" customFormat="1" ht="18.75" hidden="1" customHeight="1">
      <c r="A445" s="401"/>
      <c r="B445" s="401"/>
      <c r="C445" s="622"/>
      <c r="D445" s="454"/>
      <c r="E445" s="454"/>
      <c r="F445" s="404"/>
      <c r="G445" s="756" t="str">
        <f>C444</f>
        <v>35/1</v>
      </c>
      <c r="H445" s="456">
        <v>435</v>
      </c>
      <c r="I445" s="410"/>
      <c r="J445" s="407"/>
      <c r="K445" s="401"/>
      <c r="L445" s="401"/>
      <c r="M445" s="401"/>
      <c r="N445" s="401"/>
      <c r="O445" s="401"/>
      <c r="P445" s="401"/>
    </row>
    <row r="446" spans="1:16" s="136" customFormat="1" ht="18.75" customHeight="1">
      <c r="A446" s="401">
        <f>SUBTOTAL(103,$C$6:C446)</f>
        <v>221</v>
      </c>
      <c r="B446" s="401"/>
      <c r="C446" s="407" t="s">
        <v>591</v>
      </c>
      <c r="D446" s="623" t="s">
        <v>79</v>
      </c>
      <c r="E446" s="623"/>
      <c r="F446" s="409"/>
      <c r="G446" s="401"/>
      <c r="H446" s="456"/>
      <c r="I446" s="410">
        <f>ROUND(H445/1000,4)+I444</f>
        <v>84.444599999999951</v>
      </c>
      <c r="J446" s="405" t="s">
        <v>50</v>
      </c>
      <c r="K446" s="401" t="s">
        <v>255</v>
      </c>
      <c r="L446" s="401"/>
      <c r="M446" s="401" t="s">
        <v>255</v>
      </c>
      <c r="N446" s="401"/>
      <c r="O446" s="401"/>
      <c r="P446" s="401"/>
    </row>
    <row r="447" spans="1:16" s="136" customFormat="1" ht="18.75" hidden="1" customHeight="1">
      <c r="A447" s="401"/>
      <c r="B447" s="401"/>
      <c r="C447" s="622"/>
      <c r="D447" s="454"/>
      <c r="E447" s="454"/>
      <c r="F447" s="404"/>
      <c r="G447" s="756" t="str">
        <f>C446</f>
        <v>35/2</v>
      </c>
      <c r="H447" s="456">
        <v>405</v>
      </c>
      <c r="I447" s="410"/>
      <c r="J447" s="407"/>
      <c r="K447" s="401"/>
      <c r="L447" s="401"/>
      <c r="M447" s="401"/>
      <c r="N447" s="401"/>
      <c r="O447" s="401"/>
      <c r="P447" s="401"/>
    </row>
    <row r="448" spans="1:16" s="136" customFormat="1" ht="18.75" customHeight="1">
      <c r="A448" s="401">
        <f>SUBTOTAL(103,$C$6:C448)</f>
        <v>222</v>
      </c>
      <c r="B448" s="401"/>
      <c r="C448" s="407" t="s">
        <v>592</v>
      </c>
      <c r="D448" s="623" t="s">
        <v>4</v>
      </c>
      <c r="E448" s="623"/>
      <c r="F448" s="409"/>
      <c r="G448" s="401"/>
      <c r="H448" s="456"/>
      <c r="I448" s="410">
        <f>ROUND(H447/1000,4)+I446</f>
        <v>84.849599999999953</v>
      </c>
      <c r="J448" s="405" t="s">
        <v>50</v>
      </c>
      <c r="K448" s="401" t="s">
        <v>255</v>
      </c>
      <c r="L448" s="401" t="s">
        <v>255</v>
      </c>
      <c r="M448" s="401" t="s">
        <v>255</v>
      </c>
      <c r="N448" s="401"/>
      <c r="O448" s="401"/>
      <c r="P448" s="401"/>
    </row>
    <row r="449" spans="1:16" s="136" customFormat="1" ht="18.75" hidden="1" customHeight="1">
      <c r="A449" s="401"/>
      <c r="B449" s="401"/>
      <c r="C449" s="622"/>
      <c r="D449" s="454"/>
      <c r="E449" s="454"/>
      <c r="F449" s="404"/>
      <c r="G449" s="756" t="str">
        <f>C448</f>
        <v>35/3</v>
      </c>
      <c r="H449" s="456">
        <v>405</v>
      </c>
      <c r="I449" s="410"/>
      <c r="J449" s="407"/>
      <c r="K449" s="401"/>
      <c r="L449" s="401"/>
      <c r="M449" s="401"/>
      <c r="N449" s="401"/>
      <c r="O449" s="401"/>
      <c r="P449" s="401"/>
    </row>
    <row r="450" spans="1:16" s="136" customFormat="1" ht="18.75" customHeight="1">
      <c r="A450" s="401">
        <f>SUBTOTAL(103,$C$6:C450)</f>
        <v>223</v>
      </c>
      <c r="B450" s="401"/>
      <c r="C450" s="407" t="s">
        <v>593</v>
      </c>
      <c r="D450" s="623" t="s">
        <v>49</v>
      </c>
      <c r="E450" s="623"/>
      <c r="F450" s="409"/>
      <c r="G450" s="401"/>
      <c r="H450" s="456"/>
      <c r="I450" s="410">
        <f>ROUND(H449/1000,4)+I448</f>
        <v>85.254599999999954</v>
      </c>
      <c r="J450" s="405" t="s">
        <v>50</v>
      </c>
      <c r="K450" s="401" t="s">
        <v>255</v>
      </c>
      <c r="L450" s="401" t="s">
        <v>255</v>
      </c>
      <c r="M450" s="401" t="s">
        <v>255</v>
      </c>
      <c r="N450" s="401"/>
      <c r="O450" s="401"/>
      <c r="P450" s="401"/>
    </row>
    <row r="451" spans="1:16" s="136" customFormat="1" ht="18.75" hidden="1" customHeight="1">
      <c r="A451" s="401"/>
      <c r="B451" s="401"/>
      <c r="C451" s="622"/>
      <c r="D451" s="454"/>
      <c r="E451" s="454"/>
      <c r="F451" s="404"/>
      <c r="G451" s="756" t="str">
        <f>C450</f>
        <v>35/4</v>
      </c>
      <c r="H451" s="456">
        <v>435</v>
      </c>
      <c r="I451" s="410"/>
      <c r="J451" s="407"/>
      <c r="K451" s="401"/>
      <c r="L451" s="401"/>
      <c r="M451" s="401"/>
      <c r="N451" s="401"/>
      <c r="O451" s="401"/>
      <c r="P451" s="401"/>
    </row>
    <row r="452" spans="1:16" s="136" customFormat="1" ht="18.75" customHeight="1">
      <c r="A452" s="401">
        <f>SUBTOTAL(103,$C$6:C452)</f>
        <v>224</v>
      </c>
      <c r="B452" s="401"/>
      <c r="C452" s="407" t="s">
        <v>594</v>
      </c>
      <c r="D452" s="623" t="s">
        <v>49</v>
      </c>
      <c r="E452" s="623"/>
      <c r="F452" s="409"/>
      <c r="G452" s="401"/>
      <c r="H452" s="456"/>
      <c r="I452" s="410">
        <f>ROUND(H451/1000,4)+I450</f>
        <v>85.689599999999956</v>
      </c>
      <c r="J452" s="405" t="s">
        <v>50</v>
      </c>
      <c r="K452" s="401" t="s">
        <v>255</v>
      </c>
      <c r="L452" s="401" t="s">
        <v>255</v>
      </c>
      <c r="M452" s="401" t="s">
        <v>255</v>
      </c>
      <c r="N452" s="401" t="str">
        <f>VLOOKUP(C452,'Tack Welding'!$D$5:$J$94,7,0)</f>
        <v xml:space="preserve">Completed </v>
      </c>
      <c r="O452" s="401"/>
      <c r="P452" s="401"/>
    </row>
    <row r="453" spans="1:16" s="136" customFormat="1" ht="18.75" hidden="1" customHeight="1">
      <c r="A453" s="401"/>
      <c r="B453" s="401"/>
      <c r="C453" s="622"/>
      <c r="D453" s="454"/>
      <c r="E453" s="454"/>
      <c r="F453" s="404"/>
      <c r="G453" s="756" t="str">
        <f>C452</f>
        <v>35/5</v>
      </c>
      <c r="H453" s="456">
        <v>345</v>
      </c>
      <c r="I453" s="410"/>
      <c r="J453" s="407"/>
      <c r="K453" s="401"/>
      <c r="L453" s="401"/>
      <c r="M453" s="401"/>
      <c r="N453" s="401"/>
      <c r="O453" s="401"/>
      <c r="P453" s="401"/>
    </row>
    <row r="454" spans="1:16" s="136" customFormat="1" ht="18.75" customHeight="1">
      <c r="A454" s="401">
        <f>SUBTOTAL(103,$C$6:C454)</f>
        <v>225</v>
      </c>
      <c r="B454" s="401"/>
      <c r="C454" s="407" t="s">
        <v>595</v>
      </c>
      <c r="D454" s="623" t="s">
        <v>79</v>
      </c>
      <c r="E454" s="623"/>
      <c r="F454" s="409"/>
      <c r="G454" s="401"/>
      <c r="H454" s="456"/>
      <c r="I454" s="410">
        <f>ROUND(H453/1000,4)+I452</f>
        <v>86.034599999999955</v>
      </c>
      <c r="J454" s="405" t="s">
        <v>50</v>
      </c>
      <c r="K454" s="401" t="s">
        <v>255</v>
      </c>
      <c r="L454" s="401" t="s">
        <v>255</v>
      </c>
      <c r="M454" s="401" t="s">
        <v>255</v>
      </c>
      <c r="N454" s="401"/>
      <c r="O454" s="401"/>
      <c r="P454" s="401"/>
    </row>
    <row r="455" spans="1:16" s="136" customFormat="1" ht="18.75" hidden="1" customHeight="1">
      <c r="A455" s="401"/>
      <c r="B455" s="401"/>
      <c r="C455" s="622"/>
      <c r="D455" s="454"/>
      <c r="E455" s="454"/>
      <c r="F455" s="404"/>
      <c r="G455" s="756" t="str">
        <f>C454</f>
        <v>35/6</v>
      </c>
      <c r="H455" s="456">
        <v>395</v>
      </c>
      <c r="I455" s="410"/>
      <c r="J455" s="407"/>
      <c r="K455" s="401"/>
      <c r="L455" s="401"/>
      <c r="M455" s="401"/>
      <c r="N455" s="401"/>
      <c r="O455" s="401"/>
      <c r="P455" s="401"/>
    </row>
    <row r="456" spans="1:16" s="136" customFormat="1" ht="18.75" customHeight="1">
      <c r="A456" s="401">
        <f>SUBTOTAL(103,$C$6:C456)</f>
        <v>226</v>
      </c>
      <c r="B456" s="401"/>
      <c r="C456" s="407" t="s">
        <v>596</v>
      </c>
      <c r="D456" s="623" t="s">
        <v>2</v>
      </c>
      <c r="E456" s="623"/>
      <c r="F456" s="409"/>
      <c r="G456" s="401"/>
      <c r="H456" s="456"/>
      <c r="I456" s="410">
        <f>ROUND(H455/1000,4)+I454</f>
        <v>86.429599999999951</v>
      </c>
      <c r="J456" s="405" t="s">
        <v>50</v>
      </c>
      <c r="K456" s="401" t="s">
        <v>255</v>
      </c>
      <c r="L456" s="401" t="s">
        <v>255</v>
      </c>
      <c r="M456" s="401" t="s">
        <v>255</v>
      </c>
      <c r="N456" s="401" t="str">
        <f>VLOOKUP(C456,'Tack Welding'!$D$5:$J$94,7,0)</f>
        <v xml:space="preserve">Completed </v>
      </c>
      <c r="O456" s="401"/>
      <c r="P456" s="401"/>
    </row>
    <row r="457" spans="1:16" s="136" customFormat="1" ht="18.75" hidden="1" customHeight="1">
      <c r="A457" s="401"/>
      <c r="B457" s="401"/>
      <c r="C457" s="622"/>
      <c r="D457" s="454"/>
      <c r="E457" s="454"/>
      <c r="F457" s="404"/>
      <c r="G457" s="756" t="str">
        <f>C456</f>
        <v>35/7</v>
      </c>
      <c r="H457" s="456">
        <v>440</v>
      </c>
      <c r="I457" s="410"/>
      <c r="J457" s="407"/>
      <c r="K457" s="401"/>
      <c r="L457" s="401"/>
      <c r="M457" s="401"/>
      <c r="N457" s="401"/>
      <c r="O457" s="401"/>
      <c r="P457" s="401"/>
    </row>
    <row r="458" spans="1:16" s="136" customFormat="1" ht="18.75" customHeight="1">
      <c r="A458" s="401">
        <f>SUBTOTAL(103,$C$6:C458)</f>
        <v>227</v>
      </c>
      <c r="B458" s="401"/>
      <c r="C458" s="407" t="s">
        <v>597</v>
      </c>
      <c r="D458" s="623" t="s">
        <v>79</v>
      </c>
      <c r="E458" s="623"/>
      <c r="F458" s="409"/>
      <c r="G458" s="401"/>
      <c r="H458" s="456"/>
      <c r="I458" s="410">
        <f>ROUND(H457/1000,4)+I456</f>
        <v>86.869599999999949</v>
      </c>
      <c r="J458" s="405" t="s">
        <v>50</v>
      </c>
      <c r="K458" s="401" t="s">
        <v>255</v>
      </c>
      <c r="L458" s="401" t="s">
        <v>255</v>
      </c>
      <c r="M458" s="401" t="s">
        <v>255</v>
      </c>
      <c r="N458" s="401" t="str">
        <f>VLOOKUP(C458,'Tack Welding'!$D$5:$J$94,7,0)</f>
        <v xml:space="preserve">Completed </v>
      </c>
      <c r="O458" s="401"/>
      <c r="P458" s="401"/>
    </row>
    <row r="459" spans="1:16" s="136" customFormat="1" ht="18.75" hidden="1" customHeight="1">
      <c r="A459" s="401"/>
      <c r="B459" s="401"/>
      <c r="C459" s="622"/>
      <c r="D459" s="454"/>
      <c r="E459" s="454"/>
      <c r="F459" s="404"/>
      <c r="G459" s="756" t="str">
        <f>C458</f>
        <v>35/8</v>
      </c>
      <c r="H459" s="456">
        <v>400</v>
      </c>
      <c r="I459" s="410"/>
      <c r="J459" s="407"/>
      <c r="K459" s="401"/>
      <c r="L459" s="401"/>
      <c r="M459" s="401"/>
      <c r="N459" s="401"/>
      <c r="O459" s="401"/>
      <c r="P459" s="401"/>
    </row>
    <row r="460" spans="1:16" s="136" customFormat="1" ht="18.75" customHeight="1">
      <c r="A460" s="401">
        <f>SUBTOTAL(103,$C$6:C460)</f>
        <v>228</v>
      </c>
      <c r="B460" s="401"/>
      <c r="C460" s="407" t="s">
        <v>598</v>
      </c>
      <c r="D460" s="623" t="s">
        <v>170</v>
      </c>
      <c r="E460" s="623"/>
      <c r="F460" s="409"/>
      <c r="G460" s="401"/>
      <c r="H460" s="456"/>
      <c r="I460" s="410">
        <f>ROUND(H459/1000,4)+I458</f>
        <v>87.269599999999954</v>
      </c>
      <c r="J460" s="405" t="s">
        <v>50</v>
      </c>
      <c r="K460" s="401" t="s">
        <v>255</v>
      </c>
      <c r="L460" s="401" t="s">
        <v>255</v>
      </c>
      <c r="M460" s="401" t="s">
        <v>255</v>
      </c>
      <c r="N460" s="401"/>
      <c r="O460" s="401"/>
      <c r="P460" s="401"/>
    </row>
    <row r="461" spans="1:16" s="136" customFormat="1" ht="18.75" hidden="1" customHeight="1">
      <c r="A461" s="401"/>
      <c r="B461" s="401"/>
      <c r="C461" s="622"/>
      <c r="D461" s="454"/>
      <c r="E461" s="454"/>
      <c r="F461" s="404"/>
      <c r="G461" s="756" t="str">
        <f>C460</f>
        <v>35/9</v>
      </c>
      <c r="H461" s="456">
        <v>440</v>
      </c>
      <c r="I461" s="410"/>
      <c r="J461" s="407"/>
      <c r="K461" s="401"/>
      <c r="L461" s="401"/>
      <c r="M461" s="401"/>
      <c r="N461" s="401"/>
      <c r="O461" s="401"/>
      <c r="P461" s="401"/>
    </row>
    <row r="462" spans="1:16" s="136" customFormat="1" ht="18.75" customHeight="1">
      <c r="A462" s="401">
        <f>SUBTOTAL(103,$C$6:C462)</f>
        <v>229</v>
      </c>
      <c r="B462" s="401"/>
      <c r="C462" s="407" t="s">
        <v>599</v>
      </c>
      <c r="D462" s="623" t="s">
        <v>2</v>
      </c>
      <c r="E462" s="623"/>
      <c r="F462" s="409"/>
      <c r="G462" s="401"/>
      <c r="H462" s="456"/>
      <c r="I462" s="410">
        <f>ROUND(H461/1000,4)+I460</f>
        <v>87.709599999999952</v>
      </c>
      <c r="J462" s="405" t="s">
        <v>50</v>
      </c>
      <c r="K462" s="401" t="s">
        <v>255</v>
      </c>
      <c r="L462" s="401" t="s">
        <v>255</v>
      </c>
      <c r="M462" s="401" t="s">
        <v>255</v>
      </c>
      <c r="N462" s="401"/>
      <c r="O462" s="401"/>
      <c r="P462" s="401"/>
    </row>
    <row r="463" spans="1:16" s="136" customFormat="1" ht="18.75" hidden="1" customHeight="1">
      <c r="A463" s="401"/>
      <c r="B463" s="401"/>
      <c r="C463" s="622"/>
      <c r="D463" s="454"/>
      <c r="E463" s="454"/>
      <c r="F463" s="404"/>
      <c r="G463" s="756" t="str">
        <f>C462</f>
        <v>35/10</v>
      </c>
      <c r="H463" s="456">
        <v>330</v>
      </c>
      <c r="I463" s="410"/>
      <c r="J463" s="407"/>
      <c r="K463" s="401"/>
      <c r="L463" s="401"/>
      <c r="M463" s="401"/>
      <c r="N463" s="401"/>
      <c r="O463" s="401"/>
      <c r="P463" s="401"/>
    </row>
    <row r="464" spans="1:16" s="136" customFormat="1" ht="18.75" customHeight="1">
      <c r="A464" s="401">
        <f>SUBTOTAL(103,$C$6:C464)</f>
        <v>230</v>
      </c>
      <c r="B464" s="401"/>
      <c r="C464" s="407" t="s">
        <v>600</v>
      </c>
      <c r="D464" s="623" t="s">
        <v>2</v>
      </c>
      <c r="E464" s="623"/>
      <c r="F464" s="409"/>
      <c r="G464" s="401"/>
      <c r="H464" s="456"/>
      <c r="I464" s="410">
        <f>ROUND(H463/1000,4)+I462</f>
        <v>88.03959999999995</v>
      </c>
      <c r="J464" s="405" t="s">
        <v>50</v>
      </c>
      <c r="K464" s="401" t="s">
        <v>255</v>
      </c>
      <c r="L464" s="401" t="s">
        <v>255</v>
      </c>
      <c r="M464" s="401" t="s">
        <v>255</v>
      </c>
      <c r="N464" s="401"/>
      <c r="O464" s="401"/>
      <c r="P464" s="401"/>
    </row>
    <row r="465" spans="1:16" s="136" customFormat="1" ht="18.75" hidden="1" customHeight="1">
      <c r="A465" s="401"/>
      <c r="B465" s="401"/>
      <c r="C465" s="622"/>
      <c r="D465" s="454"/>
      <c r="E465" s="454"/>
      <c r="F465" s="404"/>
      <c r="G465" s="756" t="str">
        <f>C464</f>
        <v>35/11</v>
      </c>
      <c r="H465" s="456">
        <v>493.084</v>
      </c>
      <c r="I465" s="410"/>
      <c r="J465" s="407"/>
      <c r="K465" s="401"/>
      <c r="L465" s="401"/>
      <c r="M465" s="401"/>
      <c r="N465" s="401"/>
      <c r="O465" s="401"/>
      <c r="P465" s="401"/>
    </row>
    <row r="466" spans="1:16" s="136" customFormat="1" ht="18.75" customHeight="1">
      <c r="A466" s="401">
        <f>SUBTOTAL(103,$C$6:C466)</f>
        <v>231</v>
      </c>
      <c r="B466" s="402" t="s">
        <v>601</v>
      </c>
      <c r="C466" s="407" t="s">
        <v>8</v>
      </c>
      <c r="D466" s="623" t="s">
        <v>228</v>
      </c>
      <c r="E466" s="623"/>
      <c r="F466" s="404"/>
      <c r="G466" s="403"/>
      <c r="H466" s="457"/>
      <c r="I466" s="410">
        <f>ROUND(H465/1000,4)+I464</f>
        <v>88.532699999999949</v>
      </c>
      <c r="J466" s="405" t="s">
        <v>50</v>
      </c>
      <c r="K466" s="401" t="s">
        <v>255</v>
      </c>
      <c r="L466" s="401" t="s">
        <v>255</v>
      </c>
      <c r="M466" s="401" t="s">
        <v>255</v>
      </c>
      <c r="N466" s="401"/>
      <c r="O466" s="401" t="s">
        <v>964</v>
      </c>
      <c r="P466" s="401"/>
    </row>
    <row r="467" spans="1:16" s="136" customFormat="1" ht="18.75" hidden="1" customHeight="1">
      <c r="A467" s="401"/>
      <c r="B467" s="401"/>
      <c r="C467" s="622"/>
      <c r="D467" s="454"/>
      <c r="E467" s="454"/>
      <c r="F467" s="404"/>
      <c r="G467" s="756" t="str">
        <f>C466</f>
        <v>36/0</v>
      </c>
      <c r="H467" s="457">
        <v>454</v>
      </c>
      <c r="I467" s="410"/>
      <c r="J467" s="407"/>
      <c r="K467" s="401"/>
      <c r="L467" s="401"/>
      <c r="M467" s="401"/>
      <c r="N467" s="401"/>
      <c r="O467" s="401"/>
      <c r="P467" s="401"/>
    </row>
    <row r="468" spans="1:16" s="136" customFormat="1" ht="18.75" customHeight="1">
      <c r="A468" s="401">
        <f>SUBTOTAL(103,$C$6:C468)</f>
        <v>232</v>
      </c>
      <c r="B468" s="401"/>
      <c r="C468" s="407" t="s">
        <v>1071</v>
      </c>
      <c r="D468" s="623" t="s">
        <v>211</v>
      </c>
      <c r="E468" s="623"/>
      <c r="F468" s="404"/>
      <c r="G468" s="401"/>
      <c r="H468" s="457"/>
      <c r="I468" s="410">
        <f>ROUND(H467/1000,4)+I466</f>
        <v>88.986699999999942</v>
      </c>
      <c r="J468" s="405" t="s">
        <v>50</v>
      </c>
      <c r="K468" s="401" t="s">
        <v>255</v>
      </c>
      <c r="L468" s="401"/>
      <c r="M468" s="401" t="s">
        <v>255</v>
      </c>
      <c r="N468" s="401"/>
      <c r="O468" s="401"/>
      <c r="P468" s="401"/>
    </row>
    <row r="469" spans="1:16" s="136" customFormat="1" ht="18.75" hidden="1" customHeight="1">
      <c r="A469" s="401"/>
      <c r="B469" s="401"/>
      <c r="C469" s="622"/>
      <c r="D469" s="454"/>
      <c r="E469" s="454"/>
      <c r="F469" s="404"/>
      <c r="G469" s="756" t="str">
        <f>C468</f>
        <v>36A/0</v>
      </c>
      <c r="H469" s="457">
        <v>451</v>
      </c>
      <c r="I469" s="410"/>
      <c r="J469" s="407"/>
      <c r="K469" s="401"/>
      <c r="L469" s="401"/>
      <c r="M469" s="401"/>
      <c r="N469" s="401"/>
      <c r="O469" s="401"/>
      <c r="P469" s="401"/>
    </row>
    <row r="470" spans="1:16" s="136" customFormat="1" ht="18.75" customHeight="1">
      <c r="A470" s="401">
        <f>SUBTOTAL(103,$C$6:C470)</f>
        <v>233</v>
      </c>
      <c r="B470" s="401"/>
      <c r="C470" s="407" t="s">
        <v>1072</v>
      </c>
      <c r="D470" s="623" t="s">
        <v>2</v>
      </c>
      <c r="E470" s="623"/>
      <c r="F470" s="409"/>
      <c r="G470" s="401"/>
      <c r="H470" s="457"/>
      <c r="I470" s="410">
        <f>ROUND(H469/1000,4)+I468</f>
        <v>89.437699999999936</v>
      </c>
      <c r="J470" s="405" t="s">
        <v>50</v>
      </c>
      <c r="K470" s="401" t="s">
        <v>255</v>
      </c>
      <c r="L470" s="401" t="s">
        <v>255</v>
      </c>
      <c r="M470" s="401" t="s">
        <v>255</v>
      </c>
      <c r="N470" s="401"/>
      <c r="O470" s="401"/>
      <c r="P470" s="401"/>
    </row>
    <row r="471" spans="1:16" s="136" customFormat="1" ht="18.75" hidden="1" customHeight="1">
      <c r="A471" s="401"/>
      <c r="B471" s="401"/>
      <c r="C471" s="622"/>
      <c r="D471" s="454"/>
      <c r="E471" s="454"/>
      <c r="F471" s="404"/>
      <c r="G471" s="756" t="str">
        <f>C470</f>
        <v>36A/1</v>
      </c>
      <c r="H471" s="457">
        <v>375.7</v>
      </c>
      <c r="I471" s="410"/>
      <c r="J471" s="407"/>
      <c r="K471" s="401"/>
      <c r="L471" s="401"/>
      <c r="M471" s="401"/>
      <c r="N471" s="401"/>
      <c r="O471" s="401"/>
      <c r="P471" s="401"/>
    </row>
    <row r="472" spans="1:16" s="136" customFormat="1" ht="18.75" customHeight="1">
      <c r="A472" s="401">
        <f>SUBTOTAL(103,$C$6:C472)</f>
        <v>234</v>
      </c>
      <c r="B472" s="401"/>
      <c r="C472" s="413" t="s">
        <v>1787</v>
      </c>
      <c r="D472" s="1194" t="s">
        <v>215</v>
      </c>
      <c r="E472" s="1194"/>
      <c r="F472" s="1194"/>
      <c r="G472" s="413"/>
      <c r="H472" s="1195"/>
      <c r="I472" s="410">
        <f>ROUND(H471/1000,4)+I470</f>
        <v>89.81339999999993</v>
      </c>
      <c r="J472" s="405" t="s">
        <v>50</v>
      </c>
      <c r="K472" s="401" t="s">
        <v>255</v>
      </c>
      <c r="L472" s="401" t="s">
        <v>255</v>
      </c>
      <c r="M472" s="401" t="s">
        <v>255</v>
      </c>
      <c r="N472" s="401"/>
      <c r="O472" s="401"/>
      <c r="P472" s="401"/>
    </row>
    <row r="473" spans="1:16" s="136" customFormat="1" ht="18.75" hidden="1" customHeight="1">
      <c r="A473" s="401"/>
      <c r="B473" s="401"/>
      <c r="C473" s="759"/>
      <c r="D473" s="414"/>
      <c r="E473" s="414"/>
      <c r="F473" s="414"/>
      <c r="G473" s="1196" t="str">
        <f>C472</f>
        <v>36B/0 N</v>
      </c>
      <c r="H473" s="1195">
        <v>420.81</v>
      </c>
      <c r="I473" s="410"/>
      <c r="J473" s="407"/>
      <c r="K473" s="401"/>
      <c r="L473" s="401"/>
      <c r="M473" s="401"/>
      <c r="N473" s="401"/>
      <c r="O473" s="401"/>
      <c r="P473" s="401"/>
    </row>
    <row r="474" spans="1:16" s="136" customFormat="1" ht="18.75" customHeight="1">
      <c r="A474" s="401">
        <f>SUBTOTAL(103,$C$6:C474)</f>
        <v>235</v>
      </c>
      <c r="B474" s="402" t="s">
        <v>602</v>
      </c>
      <c r="C474" s="413" t="s">
        <v>1788</v>
      </c>
      <c r="D474" s="1194" t="s">
        <v>430</v>
      </c>
      <c r="E474" s="1194"/>
      <c r="F474" s="414"/>
      <c r="G474" s="759"/>
      <c r="H474" s="1195"/>
      <c r="I474" s="410">
        <f>ROUND(H473/1000,4)+I472</f>
        <v>90.23419999999993</v>
      </c>
      <c r="J474" s="405" t="s">
        <v>50</v>
      </c>
      <c r="K474" s="401" t="s">
        <v>255</v>
      </c>
      <c r="L474" s="401" t="s">
        <v>255</v>
      </c>
      <c r="M474" s="401"/>
      <c r="N474" s="401"/>
      <c r="O474" s="401"/>
      <c r="P474" s="401"/>
    </row>
    <row r="475" spans="1:16" s="136" customFormat="1" ht="18.75" hidden="1" customHeight="1">
      <c r="A475" s="401"/>
      <c r="B475" s="401"/>
      <c r="C475" s="759"/>
      <c r="D475" s="414"/>
      <c r="E475" s="414"/>
      <c r="F475" s="414"/>
      <c r="G475" s="1196" t="str">
        <f>C474</f>
        <v>36C/0 N</v>
      </c>
      <c r="H475" s="1195">
        <v>469.33</v>
      </c>
      <c r="I475" s="410"/>
      <c r="J475" s="407"/>
      <c r="K475" s="401"/>
      <c r="L475" s="401"/>
      <c r="M475" s="401"/>
      <c r="N475" s="401"/>
      <c r="O475" s="401"/>
      <c r="P475" s="401"/>
    </row>
    <row r="476" spans="1:16" s="136" customFormat="1" ht="18.75" customHeight="1">
      <c r="A476" s="401">
        <f>SUBTOTAL(103,$C$6:C476)</f>
        <v>236</v>
      </c>
      <c r="B476" s="401"/>
      <c r="C476" s="413" t="s">
        <v>1789</v>
      </c>
      <c r="D476" s="1194" t="s">
        <v>215</v>
      </c>
      <c r="E476" s="1194"/>
      <c r="F476" s="1194"/>
      <c r="G476" s="413"/>
      <c r="H476" s="1195"/>
      <c r="I476" s="410">
        <f>ROUND(H475/1000,4)+I474</f>
        <v>90.703499999999934</v>
      </c>
      <c r="J476" s="405" t="s">
        <v>50</v>
      </c>
      <c r="K476" s="401" t="s">
        <v>255</v>
      </c>
      <c r="L476" s="401" t="s">
        <v>255</v>
      </c>
      <c r="M476" s="401"/>
      <c r="N476" s="401"/>
      <c r="O476" s="401"/>
      <c r="P476" s="401"/>
    </row>
    <row r="477" spans="1:16" s="136" customFormat="1" ht="18.75" hidden="1" customHeight="1">
      <c r="A477" s="401"/>
      <c r="B477" s="401"/>
      <c r="C477" s="622"/>
      <c r="D477" s="454"/>
      <c r="E477" s="454"/>
      <c r="F477" s="404"/>
      <c r="G477" s="756" t="str">
        <f>C476</f>
        <v>37/0 N</v>
      </c>
      <c r="H477" s="457">
        <v>411.28</v>
      </c>
      <c r="I477" s="410"/>
      <c r="J477" s="407"/>
      <c r="K477" s="401"/>
      <c r="L477" s="401"/>
      <c r="M477" s="401"/>
      <c r="N477" s="401"/>
      <c r="O477" s="401"/>
      <c r="P477" s="401"/>
    </row>
    <row r="478" spans="1:16" s="136" customFormat="1" ht="18.75" customHeight="1">
      <c r="A478" s="401">
        <f>SUBTOTAL(103,$C$6:C478)</f>
        <v>237</v>
      </c>
      <c r="B478" s="401"/>
      <c r="C478" s="407" t="s">
        <v>604</v>
      </c>
      <c r="D478" s="623" t="s">
        <v>2</v>
      </c>
      <c r="E478" s="623"/>
      <c r="F478" s="409"/>
      <c r="G478" s="401"/>
      <c r="H478" s="457"/>
      <c r="I478" s="410">
        <f>ROUND(H477/1000,4)+I476</f>
        <v>91.114799999999931</v>
      </c>
      <c r="J478" s="405" t="s">
        <v>50</v>
      </c>
      <c r="K478" s="401" t="s">
        <v>255</v>
      </c>
      <c r="L478" s="401" t="s">
        <v>255</v>
      </c>
      <c r="M478" s="401" t="s">
        <v>255</v>
      </c>
      <c r="N478" s="401"/>
      <c r="O478" s="401"/>
      <c r="P478" s="401"/>
    </row>
    <row r="479" spans="1:16" s="136" customFormat="1" ht="18.75" hidden="1" customHeight="1">
      <c r="A479" s="401"/>
      <c r="B479" s="401"/>
      <c r="C479" s="622"/>
      <c r="D479" s="454"/>
      <c r="E479" s="454"/>
      <c r="F479" s="404"/>
      <c r="G479" s="756" t="str">
        <f>C478</f>
        <v>37/2</v>
      </c>
      <c r="H479" s="457">
        <v>405</v>
      </c>
      <c r="I479" s="410"/>
      <c r="J479" s="407"/>
      <c r="K479" s="401"/>
      <c r="L479" s="401"/>
      <c r="M479" s="401"/>
      <c r="N479" s="401"/>
      <c r="O479" s="401"/>
      <c r="P479" s="401"/>
    </row>
    <row r="480" spans="1:16" s="136" customFormat="1" ht="18.75" customHeight="1">
      <c r="A480" s="401">
        <f>SUBTOTAL(103,$C$6:C480)</f>
        <v>238</v>
      </c>
      <c r="B480" s="401"/>
      <c r="C480" s="407" t="s">
        <v>605</v>
      </c>
      <c r="D480" s="623" t="s">
        <v>154</v>
      </c>
      <c r="E480" s="623"/>
      <c r="F480" s="409"/>
      <c r="G480" s="401"/>
      <c r="H480" s="457"/>
      <c r="I480" s="410">
        <f>ROUND(H479/1000,4)+I478</f>
        <v>91.519799999999933</v>
      </c>
      <c r="J480" s="405" t="s">
        <v>50</v>
      </c>
      <c r="K480" s="401" t="s">
        <v>255</v>
      </c>
      <c r="L480" s="401" t="s">
        <v>255</v>
      </c>
      <c r="M480" s="401" t="s">
        <v>255</v>
      </c>
      <c r="N480" s="401"/>
      <c r="O480" s="401"/>
      <c r="P480" s="401"/>
    </row>
    <row r="481" spans="1:16" s="136" customFormat="1" ht="18.75" hidden="1" customHeight="1">
      <c r="A481" s="401"/>
      <c r="B481" s="401"/>
      <c r="C481" s="622"/>
      <c r="D481" s="454"/>
      <c r="E481" s="454"/>
      <c r="F481" s="404"/>
      <c r="G481" s="756" t="str">
        <f>C480</f>
        <v>37/3</v>
      </c>
      <c r="H481" s="457">
        <v>430</v>
      </c>
      <c r="I481" s="410"/>
      <c r="J481" s="407"/>
      <c r="K481" s="401"/>
      <c r="L481" s="401"/>
      <c r="M481" s="401"/>
      <c r="N481" s="401"/>
      <c r="O481" s="401"/>
      <c r="P481" s="401"/>
    </row>
    <row r="482" spans="1:16" s="136" customFormat="1" ht="18.75" customHeight="1">
      <c r="A482" s="401">
        <f>SUBTOTAL(103,$C$6:C482)</f>
        <v>239</v>
      </c>
      <c r="B482" s="401"/>
      <c r="C482" s="407" t="s">
        <v>606</v>
      </c>
      <c r="D482" s="623" t="s">
        <v>49</v>
      </c>
      <c r="E482" s="623"/>
      <c r="F482" s="409"/>
      <c r="G482" s="401"/>
      <c r="H482" s="457"/>
      <c r="I482" s="410">
        <f>ROUND(H481/1000,4)+I480</f>
        <v>91.949799999999939</v>
      </c>
      <c r="J482" s="405" t="s">
        <v>50</v>
      </c>
      <c r="K482" s="401" t="s">
        <v>255</v>
      </c>
      <c r="L482" s="401" t="s">
        <v>255</v>
      </c>
      <c r="M482" s="401" t="s">
        <v>255</v>
      </c>
      <c r="N482" s="401"/>
      <c r="O482" s="401"/>
      <c r="P482" s="401"/>
    </row>
    <row r="483" spans="1:16" s="136" customFormat="1" ht="18.75" hidden="1" customHeight="1">
      <c r="A483" s="401"/>
      <c r="B483" s="401"/>
      <c r="C483" s="622"/>
      <c r="D483" s="454"/>
      <c r="E483" s="454"/>
      <c r="F483" s="404"/>
      <c r="G483" s="756" t="str">
        <f>C482</f>
        <v>37/4</v>
      </c>
      <c r="H483" s="457">
        <v>410</v>
      </c>
      <c r="I483" s="410"/>
      <c r="J483" s="407"/>
      <c r="K483" s="401"/>
      <c r="L483" s="401"/>
      <c r="M483" s="401"/>
      <c r="N483" s="401"/>
      <c r="O483" s="401"/>
      <c r="P483" s="401"/>
    </row>
    <row r="484" spans="1:16" s="136" customFormat="1" ht="18.75" customHeight="1">
      <c r="A484" s="401">
        <f>SUBTOTAL(103,$C$6:C484)</f>
        <v>240</v>
      </c>
      <c r="B484" s="401"/>
      <c r="C484" s="407" t="s">
        <v>607</v>
      </c>
      <c r="D484" s="623" t="s">
        <v>2</v>
      </c>
      <c r="E484" s="623"/>
      <c r="F484" s="409"/>
      <c r="G484" s="401"/>
      <c r="H484" s="457"/>
      <c r="I484" s="410">
        <f>ROUND(H483/1000,4)+I482</f>
        <v>92.359799999999936</v>
      </c>
      <c r="J484" s="405" t="s">
        <v>50</v>
      </c>
      <c r="K484" s="401" t="s">
        <v>255</v>
      </c>
      <c r="L484" s="401" t="s">
        <v>255</v>
      </c>
      <c r="M484" s="401" t="s">
        <v>255</v>
      </c>
      <c r="N484" s="401"/>
      <c r="O484" s="401"/>
      <c r="P484" s="401"/>
    </row>
    <row r="485" spans="1:16" s="136" customFormat="1" ht="18.75" hidden="1" customHeight="1">
      <c r="A485" s="401"/>
      <c r="B485" s="401"/>
      <c r="C485" s="622"/>
      <c r="D485" s="454"/>
      <c r="E485" s="454"/>
      <c r="F485" s="404"/>
      <c r="G485" s="756" t="str">
        <f>C484</f>
        <v>37/5</v>
      </c>
      <c r="H485" s="457">
        <v>420</v>
      </c>
      <c r="I485" s="410"/>
      <c r="J485" s="407"/>
      <c r="K485" s="401"/>
      <c r="L485" s="401"/>
      <c r="M485" s="401"/>
      <c r="N485" s="401"/>
      <c r="O485" s="401"/>
      <c r="P485" s="401"/>
    </row>
    <row r="486" spans="1:16" s="136" customFormat="1" ht="18.75" customHeight="1">
      <c r="A486" s="401">
        <f>SUBTOTAL(103,$C$6:C486)</f>
        <v>241</v>
      </c>
      <c r="B486" s="402" t="s">
        <v>792</v>
      </c>
      <c r="C486" s="407" t="s">
        <v>777</v>
      </c>
      <c r="D486" s="623" t="s">
        <v>197</v>
      </c>
      <c r="E486" s="623"/>
      <c r="F486" s="409"/>
      <c r="G486" s="401"/>
      <c r="H486" s="457"/>
      <c r="I486" s="410">
        <f>ROUND(H485/1000,4)+I484</f>
        <v>92.779799999999938</v>
      </c>
      <c r="J486" s="405" t="s">
        <v>50</v>
      </c>
      <c r="K486" s="401" t="s">
        <v>255</v>
      </c>
      <c r="L486" s="401" t="s">
        <v>255</v>
      </c>
      <c r="M486" s="401" t="s">
        <v>255</v>
      </c>
      <c r="N486" s="401" t="str">
        <f>VLOOKUP(C486,'Tack Welding'!$D$5:$J$94,7,0)</f>
        <v xml:space="preserve">Completed </v>
      </c>
      <c r="O486" s="401"/>
      <c r="P486" s="401"/>
    </row>
    <row r="487" spans="1:16" s="136" customFormat="1" ht="18.75" hidden="1" customHeight="1">
      <c r="A487" s="401"/>
      <c r="B487" s="401"/>
      <c r="C487" s="622"/>
      <c r="D487" s="454"/>
      <c r="E487" s="454"/>
      <c r="F487" s="404"/>
      <c r="G487" s="756" t="str">
        <f>C486</f>
        <v>37A/0</v>
      </c>
      <c r="H487" s="457">
        <v>280</v>
      </c>
      <c r="I487" s="410"/>
      <c r="J487" s="407"/>
      <c r="K487" s="401"/>
      <c r="L487" s="401"/>
      <c r="M487" s="401"/>
      <c r="N487" s="401"/>
      <c r="O487" s="401"/>
      <c r="P487" s="401"/>
    </row>
    <row r="488" spans="1:16" s="136" customFormat="1" ht="18.75" customHeight="1">
      <c r="A488" s="401">
        <f>SUBTOTAL(103,$C$6:C488)</f>
        <v>242</v>
      </c>
      <c r="B488" s="401"/>
      <c r="C488" s="407" t="s">
        <v>778</v>
      </c>
      <c r="D488" s="623" t="s">
        <v>2</v>
      </c>
      <c r="E488" s="623"/>
      <c r="F488" s="409"/>
      <c r="G488" s="401"/>
      <c r="H488" s="457"/>
      <c r="I488" s="410">
        <f>ROUND(H487/1000,4)+I486</f>
        <v>93.059799999999939</v>
      </c>
      <c r="J488" s="405" t="s">
        <v>50</v>
      </c>
      <c r="K488" s="401" t="s">
        <v>255</v>
      </c>
      <c r="L488" s="401" t="s">
        <v>255</v>
      </c>
      <c r="M488" s="401" t="s">
        <v>255</v>
      </c>
      <c r="N488" s="401" t="str">
        <f>VLOOKUP(C488,'Tack Welding'!$D$5:$J$94,7,0)</f>
        <v xml:space="preserve">Completed </v>
      </c>
      <c r="O488" s="401"/>
      <c r="P488" s="401"/>
    </row>
    <row r="489" spans="1:16" s="136" customFormat="1" ht="18.75" hidden="1" customHeight="1">
      <c r="A489" s="401"/>
      <c r="B489" s="401"/>
      <c r="C489" s="622"/>
      <c r="D489" s="454"/>
      <c r="E489" s="454"/>
      <c r="F489" s="404"/>
      <c r="G489" s="756" t="str">
        <f>C488</f>
        <v>37A/1</v>
      </c>
      <c r="H489" s="457">
        <v>345</v>
      </c>
      <c r="I489" s="410"/>
      <c r="J489" s="407"/>
      <c r="K489" s="401"/>
      <c r="L489" s="401"/>
      <c r="M489" s="401"/>
      <c r="N489" s="401"/>
      <c r="O489" s="401"/>
      <c r="P489" s="401"/>
    </row>
    <row r="490" spans="1:16" s="136" customFormat="1" ht="18.75" customHeight="1">
      <c r="A490" s="401">
        <f>SUBTOTAL(103,$C$6:C490)</f>
        <v>243</v>
      </c>
      <c r="B490" s="401"/>
      <c r="C490" s="407" t="s">
        <v>779</v>
      </c>
      <c r="D490" s="623" t="s">
        <v>170</v>
      </c>
      <c r="E490" s="623"/>
      <c r="F490" s="409"/>
      <c r="G490" s="401"/>
      <c r="H490" s="457"/>
      <c r="I490" s="410">
        <f>ROUND(H489/1000,4)+I488</f>
        <v>93.404799999999938</v>
      </c>
      <c r="J490" s="405" t="s">
        <v>50</v>
      </c>
      <c r="K490" s="401" t="s">
        <v>255</v>
      </c>
      <c r="L490" s="401" t="s">
        <v>255</v>
      </c>
      <c r="M490" s="401" t="s">
        <v>255</v>
      </c>
      <c r="N490" s="401" t="str">
        <f>VLOOKUP(C490,'Tack Welding'!$D$5:$J$94,7,0)</f>
        <v xml:space="preserve">Completed </v>
      </c>
      <c r="O490" s="401"/>
      <c r="P490" s="401"/>
    </row>
    <row r="491" spans="1:16" s="136" customFormat="1" ht="18.75" hidden="1" customHeight="1">
      <c r="A491" s="401"/>
      <c r="B491" s="401"/>
      <c r="C491" s="622"/>
      <c r="D491" s="454"/>
      <c r="E491" s="454"/>
      <c r="F491" s="404"/>
      <c r="G491" s="756" t="str">
        <f>C490</f>
        <v>37A/2</v>
      </c>
      <c r="H491" s="457">
        <v>330</v>
      </c>
      <c r="I491" s="410"/>
      <c r="J491" s="407"/>
      <c r="K491" s="401"/>
      <c r="L491" s="401"/>
      <c r="M491" s="401"/>
      <c r="N491" s="401"/>
      <c r="O491" s="401"/>
      <c r="P491" s="401"/>
    </row>
    <row r="492" spans="1:16" s="136" customFormat="1" ht="18.75" customHeight="1">
      <c r="A492" s="401">
        <f>SUBTOTAL(103,$C$6:C492)</f>
        <v>244</v>
      </c>
      <c r="B492" s="401"/>
      <c r="C492" s="407" t="s">
        <v>780</v>
      </c>
      <c r="D492" s="623" t="s">
        <v>2</v>
      </c>
      <c r="E492" s="623"/>
      <c r="F492" s="409"/>
      <c r="G492" s="401"/>
      <c r="H492" s="457"/>
      <c r="I492" s="410">
        <f>ROUND(H491/1000,4)+I490</f>
        <v>93.734799999999936</v>
      </c>
      <c r="J492" s="405" t="s">
        <v>50</v>
      </c>
      <c r="K492" s="401" t="s">
        <v>255</v>
      </c>
      <c r="L492" s="401" t="s">
        <v>255</v>
      </c>
      <c r="M492" s="401" t="s">
        <v>255</v>
      </c>
      <c r="N492" s="401" t="str">
        <f>VLOOKUP(C492,'Tack Welding'!$D$5:$J$94,7,0)</f>
        <v xml:space="preserve">Completed </v>
      </c>
      <c r="O492" s="401"/>
      <c r="P492" s="401"/>
    </row>
    <row r="493" spans="1:16" s="136" customFormat="1" ht="18.75" hidden="1" customHeight="1">
      <c r="A493" s="401"/>
      <c r="B493" s="401"/>
      <c r="C493" s="622"/>
      <c r="D493" s="454"/>
      <c r="E493" s="454"/>
      <c r="F493" s="404"/>
      <c r="G493" s="756" t="str">
        <f>C492</f>
        <v>37A/3</v>
      </c>
      <c r="H493" s="457">
        <v>455</v>
      </c>
      <c r="I493" s="410"/>
      <c r="J493" s="407"/>
      <c r="K493" s="401"/>
      <c r="L493" s="401"/>
      <c r="M493" s="401"/>
      <c r="N493" s="401"/>
      <c r="O493" s="401"/>
      <c r="P493" s="401"/>
    </row>
    <row r="494" spans="1:16" s="136" customFormat="1" ht="18.75" customHeight="1">
      <c r="A494" s="401">
        <f>SUBTOTAL(103,$C$6:C494)</f>
        <v>245</v>
      </c>
      <c r="B494" s="401"/>
      <c r="C494" s="407" t="s">
        <v>781</v>
      </c>
      <c r="D494" s="623" t="s">
        <v>49</v>
      </c>
      <c r="E494" s="623"/>
      <c r="F494" s="409"/>
      <c r="G494" s="401"/>
      <c r="H494" s="457"/>
      <c r="I494" s="410">
        <f>ROUND(H493/1000,4)+I492</f>
        <v>94.189799999999934</v>
      </c>
      <c r="J494" s="405" t="s">
        <v>50</v>
      </c>
      <c r="K494" s="401" t="s">
        <v>255</v>
      </c>
      <c r="L494" s="401" t="s">
        <v>255</v>
      </c>
      <c r="M494" s="401" t="s">
        <v>255</v>
      </c>
      <c r="N494" s="401" t="str">
        <f>VLOOKUP(C494,'Tack Welding'!$D$5:$J$94,7,0)</f>
        <v xml:space="preserve">Completed </v>
      </c>
      <c r="O494" s="401" t="s">
        <v>964</v>
      </c>
      <c r="P494" s="401"/>
    </row>
    <row r="495" spans="1:16" s="136" customFormat="1" ht="18.75" hidden="1" customHeight="1">
      <c r="A495" s="401"/>
      <c r="B495" s="401"/>
      <c r="C495" s="622"/>
      <c r="D495" s="454"/>
      <c r="E495" s="454"/>
      <c r="F495" s="404"/>
      <c r="G495" s="756" t="str">
        <f>C494</f>
        <v>37A/4</v>
      </c>
      <c r="H495" s="457">
        <v>340</v>
      </c>
      <c r="I495" s="410"/>
      <c r="J495" s="407"/>
      <c r="K495" s="401"/>
      <c r="L495" s="401"/>
      <c r="M495" s="401"/>
      <c r="N495" s="401"/>
      <c r="O495" s="401"/>
      <c r="P495" s="401"/>
    </row>
    <row r="496" spans="1:16" s="136" customFormat="1" ht="18.75" customHeight="1">
      <c r="A496" s="401">
        <f>SUBTOTAL(103,$C$6:C496)</f>
        <v>246</v>
      </c>
      <c r="B496" s="401"/>
      <c r="C496" s="407" t="s">
        <v>782</v>
      </c>
      <c r="D496" s="623" t="s">
        <v>2</v>
      </c>
      <c r="E496" s="623"/>
      <c r="F496" s="409"/>
      <c r="G496" s="401"/>
      <c r="H496" s="457"/>
      <c r="I496" s="410">
        <f>ROUND(H495/1000,4)+I494</f>
        <v>94.529799999999938</v>
      </c>
      <c r="J496" s="405" t="s">
        <v>50</v>
      </c>
      <c r="K496" s="401" t="s">
        <v>255</v>
      </c>
      <c r="L496" s="401" t="s">
        <v>255</v>
      </c>
      <c r="M496" s="401" t="s">
        <v>255</v>
      </c>
      <c r="N496" s="401" t="str">
        <f>VLOOKUP(C496,'Tack Welding'!$D$5:$J$94,7,0)</f>
        <v xml:space="preserve">Completed </v>
      </c>
      <c r="O496" s="401"/>
      <c r="P496" s="401"/>
    </row>
    <row r="497" spans="1:16" s="136" customFormat="1" ht="18.75" hidden="1" customHeight="1">
      <c r="A497" s="401"/>
      <c r="B497" s="401"/>
      <c r="C497" s="622"/>
      <c r="D497" s="454"/>
      <c r="E497" s="454"/>
      <c r="F497" s="404"/>
      <c r="G497" s="756" t="str">
        <f>C496</f>
        <v>37A/5</v>
      </c>
      <c r="H497" s="457">
        <v>435</v>
      </c>
      <c r="I497" s="410"/>
      <c r="J497" s="407"/>
      <c r="K497" s="401"/>
      <c r="L497" s="401"/>
      <c r="M497" s="401"/>
      <c r="N497" s="401"/>
      <c r="O497" s="401"/>
      <c r="P497" s="401"/>
    </row>
    <row r="498" spans="1:16" s="136" customFormat="1" ht="18.75" customHeight="1">
      <c r="A498" s="401">
        <f>SUBTOTAL(103,$C$6:C498)</f>
        <v>247</v>
      </c>
      <c r="B498" s="401"/>
      <c r="C498" s="407" t="s">
        <v>783</v>
      </c>
      <c r="D498" s="623" t="s">
        <v>2</v>
      </c>
      <c r="E498" s="623"/>
      <c r="F498" s="409"/>
      <c r="G498" s="401"/>
      <c r="H498" s="457"/>
      <c r="I498" s="410">
        <f>ROUND(H497/1000,4)+I496</f>
        <v>94.96479999999994</v>
      </c>
      <c r="J498" s="405" t="s">
        <v>50</v>
      </c>
      <c r="K498" s="401" t="s">
        <v>255</v>
      </c>
      <c r="L498" s="401" t="s">
        <v>255</v>
      </c>
      <c r="M498" s="401" t="s">
        <v>255</v>
      </c>
      <c r="N498" s="401" t="str">
        <f>VLOOKUP(C498,'Tack Welding'!$D$5:$J$94,7,0)</f>
        <v xml:space="preserve">Completed </v>
      </c>
      <c r="O498" s="401"/>
      <c r="P498" s="401"/>
    </row>
    <row r="499" spans="1:16" s="136" customFormat="1" ht="18.75" hidden="1" customHeight="1">
      <c r="A499" s="401"/>
      <c r="B499" s="401"/>
      <c r="C499" s="622"/>
      <c r="D499" s="454"/>
      <c r="E499" s="454"/>
      <c r="F499" s="404"/>
      <c r="G499" s="756" t="str">
        <f>C498</f>
        <v>37A/6</v>
      </c>
      <c r="H499" s="457">
        <v>398.589</v>
      </c>
      <c r="I499" s="410"/>
      <c r="J499" s="407"/>
      <c r="K499" s="401"/>
      <c r="L499" s="401"/>
      <c r="M499" s="401"/>
      <c r="N499" s="401"/>
      <c r="O499" s="401"/>
      <c r="P499" s="401"/>
    </row>
    <row r="500" spans="1:16" s="136" customFormat="1" ht="18.75" customHeight="1">
      <c r="A500" s="401">
        <f>SUBTOTAL(103,$C$6:C500)</f>
        <v>248</v>
      </c>
      <c r="B500" s="402" t="s">
        <v>608</v>
      </c>
      <c r="C500" s="407" t="s">
        <v>72</v>
      </c>
      <c r="D500" s="623" t="s">
        <v>226</v>
      </c>
      <c r="E500" s="623"/>
      <c r="F500" s="404"/>
      <c r="G500" s="403"/>
      <c r="H500" s="457"/>
      <c r="I500" s="410">
        <f>ROUND(H499/1000,4)+I498</f>
        <v>95.363399999999942</v>
      </c>
      <c r="J500" s="405" t="s">
        <v>50</v>
      </c>
      <c r="K500" s="401" t="s">
        <v>255</v>
      </c>
      <c r="L500" s="401" t="s">
        <v>255</v>
      </c>
      <c r="M500" s="401" t="s">
        <v>255</v>
      </c>
      <c r="N500" s="401" t="str">
        <f>VLOOKUP(C500,'Tack Welding'!$D$5:$J$94,7,0)</f>
        <v xml:space="preserve">Completed </v>
      </c>
      <c r="O500" s="401"/>
      <c r="P500" s="401"/>
    </row>
    <row r="501" spans="1:16" s="136" customFormat="1" ht="18.75" hidden="1" customHeight="1">
      <c r="A501" s="401"/>
      <c r="B501" s="401"/>
      <c r="C501" s="622"/>
      <c r="D501" s="454"/>
      <c r="E501" s="454"/>
      <c r="F501" s="404"/>
      <c r="G501" s="756" t="str">
        <f>C500</f>
        <v>38/0</v>
      </c>
      <c r="H501" s="457">
        <v>426.411</v>
      </c>
      <c r="I501" s="410"/>
      <c r="J501" s="407"/>
      <c r="K501" s="401"/>
      <c r="L501" s="401"/>
      <c r="M501" s="401"/>
      <c r="N501" s="401"/>
      <c r="O501" s="401"/>
      <c r="P501" s="401"/>
    </row>
    <row r="502" spans="1:16" s="136" customFormat="1" ht="18.75" customHeight="1">
      <c r="A502" s="401">
        <f>SUBTOTAL(103,$C$6:C502)</f>
        <v>249</v>
      </c>
      <c r="B502" s="401"/>
      <c r="C502" s="407" t="s">
        <v>609</v>
      </c>
      <c r="D502" s="623" t="s">
        <v>3</v>
      </c>
      <c r="E502" s="623"/>
      <c r="F502" s="409"/>
      <c r="G502" s="401"/>
      <c r="H502" s="457"/>
      <c r="I502" s="410">
        <f>ROUND(H501/1000,4)+I500</f>
        <v>95.789799999999943</v>
      </c>
      <c r="J502" s="405" t="s">
        <v>50</v>
      </c>
      <c r="K502" s="401" t="s">
        <v>255</v>
      </c>
      <c r="L502" s="401" t="s">
        <v>255</v>
      </c>
      <c r="M502" s="401" t="s">
        <v>255</v>
      </c>
      <c r="N502" s="401" t="str">
        <f>VLOOKUP(C502,'Tack Welding'!$D$5:$J$94,7,0)</f>
        <v xml:space="preserve">Completed </v>
      </c>
      <c r="O502" s="401"/>
      <c r="P502" s="401"/>
    </row>
    <row r="503" spans="1:16" s="136" customFormat="1" ht="18.75" hidden="1" customHeight="1">
      <c r="A503" s="401"/>
      <c r="B503" s="401"/>
      <c r="C503" s="622"/>
      <c r="D503" s="454"/>
      <c r="E503" s="454"/>
      <c r="F503" s="404"/>
      <c r="G503" s="756" t="str">
        <f>C502</f>
        <v>38/1</v>
      </c>
      <c r="H503" s="457">
        <v>390</v>
      </c>
      <c r="I503" s="410"/>
      <c r="J503" s="407"/>
      <c r="K503" s="401"/>
      <c r="L503" s="401"/>
      <c r="M503" s="401"/>
      <c r="N503" s="401"/>
      <c r="O503" s="401"/>
      <c r="P503" s="401"/>
    </row>
    <row r="504" spans="1:16" s="136" customFormat="1" ht="18.75" customHeight="1">
      <c r="A504" s="401">
        <f>SUBTOTAL(103,$C$6:C504)</f>
        <v>250</v>
      </c>
      <c r="B504" s="401"/>
      <c r="C504" s="407" t="s">
        <v>610</v>
      </c>
      <c r="D504" s="623" t="s">
        <v>3</v>
      </c>
      <c r="E504" s="623"/>
      <c r="F504" s="409"/>
      <c r="G504" s="401"/>
      <c r="H504" s="457"/>
      <c r="I504" s="410">
        <f>ROUND(H503/1000,4)+I502</f>
        <v>96.179799999999943</v>
      </c>
      <c r="J504" s="405" t="s">
        <v>50</v>
      </c>
      <c r="K504" s="401" t="s">
        <v>255</v>
      </c>
      <c r="L504" s="401" t="s">
        <v>255</v>
      </c>
      <c r="M504" s="401" t="s">
        <v>255</v>
      </c>
      <c r="N504" s="401" t="str">
        <f>VLOOKUP(C504,'Tack Welding'!$D$5:$J$94,7,0)</f>
        <v xml:space="preserve">Completed </v>
      </c>
      <c r="O504" s="401"/>
      <c r="P504" s="401"/>
    </row>
    <row r="505" spans="1:16" s="136" customFormat="1" ht="18.75" hidden="1" customHeight="1">
      <c r="A505" s="401"/>
      <c r="B505" s="401"/>
      <c r="C505" s="622"/>
      <c r="D505" s="454"/>
      <c r="E505" s="454"/>
      <c r="F505" s="404"/>
      <c r="G505" s="756" t="str">
        <f>C504</f>
        <v>38/2</v>
      </c>
      <c r="H505" s="457">
        <v>335</v>
      </c>
      <c r="I505" s="410"/>
      <c r="J505" s="407"/>
      <c r="K505" s="401"/>
      <c r="L505" s="401"/>
      <c r="M505" s="401"/>
      <c r="N505" s="401"/>
      <c r="O505" s="401"/>
      <c r="P505" s="401"/>
    </row>
    <row r="506" spans="1:16" s="136" customFormat="1" ht="18.75" customHeight="1">
      <c r="A506" s="401">
        <f>SUBTOTAL(103,$C$6:C506)</f>
        <v>251</v>
      </c>
      <c r="B506" s="401"/>
      <c r="C506" s="407" t="s">
        <v>611</v>
      </c>
      <c r="D506" s="623" t="s">
        <v>2</v>
      </c>
      <c r="E506" s="623"/>
      <c r="F506" s="409"/>
      <c r="G506" s="401"/>
      <c r="H506" s="457"/>
      <c r="I506" s="410">
        <f>ROUND(H505/1000,4)+I504</f>
        <v>96.514799999999937</v>
      </c>
      <c r="J506" s="405" t="s">
        <v>50</v>
      </c>
      <c r="K506" s="401" t="s">
        <v>255</v>
      </c>
      <c r="L506" s="401" t="s">
        <v>255</v>
      </c>
      <c r="M506" s="401" t="s">
        <v>255</v>
      </c>
      <c r="N506" s="401" t="str">
        <f>VLOOKUP(C506,'Tack Welding'!$D$5:$J$94,7,0)</f>
        <v xml:space="preserve">Completed </v>
      </c>
      <c r="O506" s="401"/>
      <c r="P506" s="401"/>
    </row>
    <row r="507" spans="1:16" s="136" customFormat="1" ht="18.75" hidden="1" customHeight="1">
      <c r="A507" s="401"/>
      <c r="B507" s="401"/>
      <c r="C507" s="622"/>
      <c r="D507" s="454"/>
      <c r="E507" s="454"/>
      <c r="F507" s="404"/>
      <c r="G507" s="756" t="str">
        <f>C506</f>
        <v>38/3</v>
      </c>
      <c r="H507" s="457">
        <v>440</v>
      </c>
      <c r="I507" s="410"/>
      <c r="J507" s="407"/>
      <c r="K507" s="401"/>
      <c r="L507" s="401"/>
      <c r="M507" s="401"/>
      <c r="N507" s="401"/>
      <c r="O507" s="401"/>
      <c r="P507" s="401"/>
    </row>
    <row r="508" spans="1:16" s="136" customFormat="1" ht="18.75" customHeight="1">
      <c r="A508" s="401">
        <f>SUBTOTAL(103,$C$6:C508)</f>
        <v>252</v>
      </c>
      <c r="B508" s="401"/>
      <c r="C508" s="407" t="s">
        <v>612</v>
      </c>
      <c r="D508" s="623" t="s">
        <v>170</v>
      </c>
      <c r="E508" s="623"/>
      <c r="F508" s="409"/>
      <c r="G508" s="401"/>
      <c r="H508" s="457"/>
      <c r="I508" s="410">
        <f>ROUND(H507/1000,4)+I506</f>
        <v>96.954799999999935</v>
      </c>
      <c r="J508" s="405" t="s">
        <v>50</v>
      </c>
      <c r="K508" s="401" t="s">
        <v>255</v>
      </c>
      <c r="L508" s="401" t="s">
        <v>255</v>
      </c>
      <c r="M508" s="401" t="s">
        <v>255</v>
      </c>
      <c r="N508" s="401" t="str">
        <f>VLOOKUP(C508,'Tack Welding'!$D$5:$J$94,7,0)</f>
        <v xml:space="preserve">Completed </v>
      </c>
      <c r="O508" s="401"/>
      <c r="P508" s="401"/>
    </row>
    <row r="509" spans="1:16" s="136" customFormat="1" ht="18.75" hidden="1" customHeight="1">
      <c r="A509" s="401"/>
      <c r="B509" s="401"/>
      <c r="C509" s="622"/>
      <c r="D509" s="454"/>
      <c r="E509" s="454"/>
      <c r="F509" s="404"/>
      <c r="G509" s="756" t="str">
        <f>C508</f>
        <v>38/4</v>
      </c>
      <c r="H509" s="457">
        <v>280</v>
      </c>
      <c r="I509" s="410"/>
      <c r="J509" s="407"/>
      <c r="K509" s="401"/>
      <c r="L509" s="401"/>
      <c r="M509" s="401"/>
      <c r="N509" s="401"/>
      <c r="O509" s="401"/>
      <c r="P509" s="401"/>
    </row>
    <row r="510" spans="1:16" s="136" customFormat="1" ht="18.75" customHeight="1">
      <c r="A510" s="401">
        <f>SUBTOTAL(103,$C$6:C510)</f>
        <v>253</v>
      </c>
      <c r="B510" s="401"/>
      <c r="C510" s="407" t="s">
        <v>613</v>
      </c>
      <c r="D510" s="623" t="s">
        <v>2</v>
      </c>
      <c r="E510" s="623"/>
      <c r="F510" s="409"/>
      <c r="G510" s="401"/>
      <c r="H510" s="457"/>
      <c r="I510" s="410">
        <f>ROUND(H509/1000,4)+I508</f>
        <v>97.234799999999936</v>
      </c>
      <c r="J510" s="405" t="s">
        <v>50</v>
      </c>
      <c r="K510" s="401" t="s">
        <v>255</v>
      </c>
      <c r="L510" s="401" t="s">
        <v>255</v>
      </c>
      <c r="M510" s="401" t="s">
        <v>255</v>
      </c>
      <c r="N510" s="401" t="str">
        <f>VLOOKUP(C510,'Tack Welding'!$D$5:$J$94,7,0)</f>
        <v xml:space="preserve">Completed </v>
      </c>
      <c r="O510" s="401"/>
      <c r="P510" s="401"/>
    </row>
    <row r="511" spans="1:16" s="136" customFormat="1" ht="18.75" hidden="1" customHeight="1">
      <c r="A511" s="401"/>
      <c r="B511" s="401"/>
      <c r="C511" s="622"/>
      <c r="D511" s="454"/>
      <c r="E511" s="454"/>
      <c r="F511" s="404"/>
      <c r="G511" s="756" t="str">
        <f>C510</f>
        <v>38/5</v>
      </c>
      <c r="H511" s="457">
        <v>450</v>
      </c>
      <c r="I511" s="410"/>
      <c r="J511" s="407"/>
      <c r="K511" s="401"/>
      <c r="L511" s="401"/>
      <c r="M511" s="401"/>
      <c r="N511" s="401"/>
      <c r="O511" s="401"/>
      <c r="P511" s="401"/>
    </row>
    <row r="512" spans="1:16" s="136" customFormat="1" ht="18.75" customHeight="1">
      <c r="A512" s="401">
        <f>SUBTOTAL(103,$C$6:C512)</f>
        <v>254</v>
      </c>
      <c r="B512" s="401"/>
      <c r="C512" s="407" t="s">
        <v>614</v>
      </c>
      <c r="D512" s="623" t="s">
        <v>79</v>
      </c>
      <c r="E512" s="623"/>
      <c r="F512" s="409"/>
      <c r="G512" s="401"/>
      <c r="H512" s="457"/>
      <c r="I512" s="410">
        <f>ROUND(H511/1000,4)+I510</f>
        <v>97.684799999999939</v>
      </c>
      <c r="J512" s="405" t="s">
        <v>50</v>
      </c>
      <c r="K512" s="401" t="s">
        <v>255</v>
      </c>
      <c r="L512" s="401" t="s">
        <v>255</v>
      </c>
      <c r="M512" s="401" t="s">
        <v>255</v>
      </c>
      <c r="N512" s="401" t="str">
        <f>VLOOKUP(C512,'Tack Welding'!$D$5:$J$94,7,0)</f>
        <v xml:space="preserve">Completed </v>
      </c>
      <c r="O512" s="401"/>
      <c r="P512" s="401"/>
    </row>
    <row r="513" spans="1:16" s="136" customFormat="1" ht="18.75" hidden="1" customHeight="1">
      <c r="A513" s="401"/>
      <c r="B513" s="401"/>
      <c r="C513" s="622"/>
      <c r="D513" s="454"/>
      <c r="E513" s="454"/>
      <c r="F513" s="404"/>
      <c r="G513" s="756" t="str">
        <f>C512</f>
        <v>38/6</v>
      </c>
      <c r="H513" s="457">
        <v>285</v>
      </c>
      <c r="I513" s="410"/>
      <c r="J513" s="407"/>
      <c r="K513" s="401"/>
      <c r="L513" s="401"/>
      <c r="M513" s="401"/>
      <c r="N513" s="401"/>
      <c r="O513" s="401"/>
      <c r="P513" s="401"/>
    </row>
    <row r="514" spans="1:16" s="136" customFormat="1" ht="18.75" customHeight="1">
      <c r="A514" s="401">
        <f>SUBTOTAL(103,$C$6:C514)</f>
        <v>255</v>
      </c>
      <c r="B514" s="401"/>
      <c r="C514" s="407" t="s">
        <v>615</v>
      </c>
      <c r="D514" s="623" t="s">
        <v>49</v>
      </c>
      <c r="E514" s="623"/>
      <c r="F514" s="409"/>
      <c r="G514" s="401"/>
      <c r="H514" s="457"/>
      <c r="I514" s="410">
        <f>ROUND(H513/1000,4)+I512</f>
        <v>97.969799999999935</v>
      </c>
      <c r="J514" s="405" t="s">
        <v>50</v>
      </c>
      <c r="K514" s="401" t="s">
        <v>255</v>
      </c>
      <c r="L514" s="401" t="s">
        <v>255</v>
      </c>
      <c r="M514" s="401" t="s">
        <v>255</v>
      </c>
      <c r="N514" s="401"/>
      <c r="O514" s="401"/>
      <c r="P514" s="401"/>
    </row>
    <row r="515" spans="1:16" s="136" customFormat="1" ht="18.75" hidden="1" customHeight="1">
      <c r="A515" s="401"/>
      <c r="B515" s="401"/>
      <c r="C515" s="622"/>
      <c r="D515" s="454"/>
      <c r="E515" s="454"/>
      <c r="F515" s="404"/>
      <c r="G515" s="756" t="str">
        <f>C514</f>
        <v>38/7</v>
      </c>
      <c r="H515" s="457">
        <v>445</v>
      </c>
      <c r="I515" s="410"/>
      <c r="J515" s="407"/>
      <c r="K515" s="401"/>
      <c r="L515" s="401"/>
      <c r="M515" s="401"/>
      <c r="N515" s="401"/>
      <c r="O515" s="401"/>
      <c r="P515" s="401"/>
    </row>
    <row r="516" spans="1:16" s="136" customFormat="1" ht="18.75" customHeight="1">
      <c r="A516" s="401">
        <f>SUBTOTAL(103,$C$6:C516)</f>
        <v>256</v>
      </c>
      <c r="B516" s="401"/>
      <c r="C516" s="407" t="s">
        <v>616</v>
      </c>
      <c r="D516" s="623" t="s">
        <v>170</v>
      </c>
      <c r="E516" s="623"/>
      <c r="F516" s="409"/>
      <c r="G516" s="401"/>
      <c r="H516" s="457"/>
      <c r="I516" s="410">
        <f>ROUND(H515/1000,4)+I514</f>
        <v>98.414799999999929</v>
      </c>
      <c r="J516" s="405" t="s">
        <v>50</v>
      </c>
      <c r="K516" s="401" t="s">
        <v>255</v>
      </c>
      <c r="L516" s="401" t="s">
        <v>255</v>
      </c>
      <c r="M516" s="401" t="s">
        <v>255</v>
      </c>
      <c r="N516" s="401" t="str">
        <f>VLOOKUP(C516,'Tack Welding'!$D$5:$J$94,7,0)</f>
        <v xml:space="preserve">Completed </v>
      </c>
      <c r="O516" s="401"/>
      <c r="P516" s="401"/>
    </row>
    <row r="517" spans="1:16" s="136" customFormat="1" ht="18.75" hidden="1" customHeight="1">
      <c r="A517" s="401"/>
      <c r="B517" s="401"/>
      <c r="C517" s="622"/>
      <c r="D517" s="454"/>
      <c r="E517" s="454"/>
      <c r="F517" s="404"/>
      <c r="G517" s="756" t="str">
        <f>C516</f>
        <v>38/8</v>
      </c>
      <c r="H517" s="457">
        <v>360</v>
      </c>
      <c r="I517" s="410"/>
      <c r="J517" s="407"/>
      <c r="K517" s="401"/>
      <c r="L517" s="401"/>
      <c r="M517" s="401"/>
      <c r="N517" s="401"/>
      <c r="O517" s="401"/>
      <c r="P517" s="401"/>
    </row>
    <row r="518" spans="1:16" s="136" customFormat="1" ht="18.75" customHeight="1">
      <c r="A518" s="401">
        <f>SUBTOTAL(103,$C$6:C518)</f>
        <v>257</v>
      </c>
      <c r="B518" s="401"/>
      <c r="C518" s="407" t="s">
        <v>617</v>
      </c>
      <c r="D518" s="623" t="s">
        <v>3</v>
      </c>
      <c r="E518" s="623"/>
      <c r="F518" s="409"/>
      <c r="G518" s="401"/>
      <c r="H518" s="457"/>
      <c r="I518" s="410">
        <f>ROUND(H517/1000,4)+I516</f>
        <v>98.774799999999928</v>
      </c>
      <c r="J518" s="405" t="s">
        <v>50</v>
      </c>
      <c r="K518" s="401" t="s">
        <v>255</v>
      </c>
      <c r="L518" s="401" t="s">
        <v>255</v>
      </c>
      <c r="M518" s="401" t="s">
        <v>255</v>
      </c>
      <c r="N518" s="401" t="str">
        <f>VLOOKUP(C518,'Tack Welding'!$D$5:$J$94,7,0)</f>
        <v xml:space="preserve">Completed </v>
      </c>
      <c r="O518" s="401"/>
      <c r="P518" s="401"/>
    </row>
    <row r="519" spans="1:16" s="136" customFormat="1" ht="18.75" hidden="1" customHeight="1">
      <c r="A519" s="401"/>
      <c r="B519" s="401"/>
      <c r="C519" s="622"/>
      <c r="D519" s="454"/>
      <c r="E519" s="454"/>
      <c r="F519" s="404"/>
      <c r="G519" s="756" t="str">
        <f>C518</f>
        <v>38/9</v>
      </c>
      <c r="H519" s="457">
        <v>430</v>
      </c>
      <c r="I519" s="410"/>
      <c r="J519" s="407"/>
      <c r="K519" s="401"/>
      <c r="L519" s="401"/>
      <c r="M519" s="401"/>
      <c r="N519" s="401"/>
      <c r="O519" s="401"/>
      <c r="P519" s="401"/>
    </row>
    <row r="520" spans="1:16" s="136" customFormat="1" ht="18.75" customHeight="1">
      <c r="A520" s="401">
        <f>SUBTOTAL(103,$C$6:C520)</f>
        <v>258</v>
      </c>
      <c r="B520" s="401"/>
      <c r="C520" s="407" t="s">
        <v>618</v>
      </c>
      <c r="D520" s="623" t="s">
        <v>2</v>
      </c>
      <c r="E520" s="623"/>
      <c r="F520" s="409"/>
      <c r="G520" s="401"/>
      <c r="H520" s="457"/>
      <c r="I520" s="410">
        <f>ROUND(H519/1000,4)+I518</f>
        <v>99.204799999999935</v>
      </c>
      <c r="J520" s="405" t="s">
        <v>50</v>
      </c>
      <c r="K520" s="401" t="s">
        <v>255</v>
      </c>
      <c r="L520" s="401" t="s">
        <v>255</v>
      </c>
      <c r="M520" s="401" t="s">
        <v>255</v>
      </c>
      <c r="N520" s="401" t="str">
        <f>VLOOKUP(C520,'Tack Welding'!$D$5:$J$94,7,0)</f>
        <v xml:space="preserve">Completed </v>
      </c>
      <c r="O520" s="401"/>
      <c r="P520" s="401"/>
    </row>
    <row r="521" spans="1:16" s="136" customFormat="1" ht="18.75" hidden="1" customHeight="1">
      <c r="A521" s="401"/>
      <c r="B521" s="401"/>
      <c r="C521" s="622"/>
      <c r="D521" s="454"/>
      <c r="E521" s="454"/>
      <c r="F521" s="404"/>
      <c r="G521" s="756" t="str">
        <f>C520</f>
        <v>38/10</v>
      </c>
      <c r="H521" s="457">
        <v>322.26600000000002</v>
      </c>
      <c r="I521" s="410"/>
      <c r="J521" s="407"/>
      <c r="K521" s="401"/>
      <c r="L521" s="401"/>
      <c r="M521" s="401"/>
      <c r="N521" s="401"/>
      <c r="O521" s="401"/>
      <c r="P521" s="401"/>
    </row>
    <row r="522" spans="1:16" s="136" customFormat="1" ht="18.75" customHeight="1">
      <c r="A522" s="401">
        <f>SUBTOTAL(103,$C$6:C522)</f>
        <v>259</v>
      </c>
      <c r="B522" s="402" t="s">
        <v>619</v>
      </c>
      <c r="C522" s="407" t="s">
        <v>73</v>
      </c>
      <c r="D522" s="623" t="s">
        <v>184</v>
      </c>
      <c r="E522" s="623"/>
      <c r="F522" s="404"/>
      <c r="G522" s="403"/>
      <c r="H522" s="457"/>
      <c r="I522" s="410">
        <f>ROUND(H521/1000,4)+I520</f>
        <v>99.527099999999933</v>
      </c>
      <c r="J522" s="405" t="s">
        <v>50</v>
      </c>
      <c r="K522" s="401" t="s">
        <v>255</v>
      </c>
      <c r="L522" s="401" t="s">
        <v>255</v>
      </c>
      <c r="M522" s="401" t="s">
        <v>255</v>
      </c>
      <c r="N522" s="401" t="str">
        <f>VLOOKUP(C522,'Tack Welding'!$D$5:$J$94,7,0)</f>
        <v xml:space="preserve">Completed </v>
      </c>
      <c r="O522" s="401" t="s">
        <v>964</v>
      </c>
      <c r="P522" s="401"/>
    </row>
    <row r="523" spans="1:16" s="136" customFormat="1" ht="18.75" hidden="1" customHeight="1">
      <c r="A523" s="401"/>
      <c r="B523" s="401"/>
      <c r="C523" s="622"/>
      <c r="D523" s="454"/>
      <c r="E523" s="454"/>
      <c r="F523" s="404"/>
      <c r="G523" s="756" t="str">
        <f>C522</f>
        <v>39/0</v>
      </c>
      <c r="H523" s="457">
        <v>392.73</v>
      </c>
      <c r="I523" s="410"/>
      <c r="J523" s="407"/>
      <c r="K523" s="401"/>
      <c r="L523" s="401"/>
      <c r="M523" s="401"/>
      <c r="N523" s="401"/>
      <c r="O523" s="401"/>
      <c r="P523" s="401"/>
    </row>
    <row r="524" spans="1:16" s="136" customFormat="1" ht="18.75" customHeight="1">
      <c r="A524" s="401">
        <f>SUBTOTAL(103,$C$6:C524)</f>
        <v>260</v>
      </c>
      <c r="B524" s="401"/>
      <c r="C524" s="407" t="s">
        <v>620</v>
      </c>
      <c r="D524" s="623" t="s">
        <v>154</v>
      </c>
      <c r="E524" s="623"/>
      <c r="F524" s="409"/>
      <c r="G524" s="401"/>
      <c r="H524" s="457"/>
      <c r="I524" s="410">
        <f>ROUND(H523/1000,4)+I522</f>
        <v>99.919799999999938</v>
      </c>
      <c r="J524" s="405" t="s">
        <v>50</v>
      </c>
      <c r="K524" s="401" t="s">
        <v>255</v>
      </c>
      <c r="L524" s="401" t="s">
        <v>255</v>
      </c>
      <c r="M524" s="401" t="s">
        <v>255</v>
      </c>
      <c r="N524" s="401" t="str">
        <f>VLOOKUP(C524,'Tack Welding'!$D$5:$J$94,7,0)</f>
        <v xml:space="preserve">Completed </v>
      </c>
      <c r="O524" s="401"/>
      <c r="P524" s="401"/>
    </row>
    <row r="525" spans="1:16" s="136" customFormat="1" ht="18.75" hidden="1" customHeight="1">
      <c r="A525" s="401"/>
      <c r="B525" s="401"/>
      <c r="C525" s="622"/>
      <c r="D525" s="454"/>
      <c r="E525" s="454"/>
      <c r="F525" s="404"/>
      <c r="G525" s="756" t="str">
        <f>C524</f>
        <v>39/1</v>
      </c>
      <c r="H525" s="457">
        <v>395</v>
      </c>
      <c r="I525" s="410"/>
      <c r="J525" s="407"/>
      <c r="K525" s="401"/>
      <c r="L525" s="401"/>
      <c r="M525" s="401"/>
      <c r="N525" s="401"/>
      <c r="O525" s="401"/>
      <c r="P525" s="401"/>
    </row>
    <row r="526" spans="1:16" s="136" customFormat="1" ht="18.75" customHeight="1">
      <c r="A526" s="401">
        <f>SUBTOTAL(103,$C$6:C526)</f>
        <v>261</v>
      </c>
      <c r="B526" s="401"/>
      <c r="C526" s="407" t="s">
        <v>621</v>
      </c>
      <c r="D526" s="623" t="s">
        <v>2</v>
      </c>
      <c r="E526" s="623"/>
      <c r="F526" s="409"/>
      <c r="G526" s="401"/>
      <c r="H526" s="457"/>
      <c r="I526" s="410">
        <f>ROUND(H525/1000,4)+I524</f>
        <v>100.31479999999993</v>
      </c>
      <c r="J526" s="405" t="s">
        <v>50</v>
      </c>
      <c r="K526" s="401" t="s">
        <v>255</v>
      </c>
      <c r="L526" s="401" t="s">
        <v>255</v>
      </c>
      <c r="M526" s="401" t="s">
        <v>255</v>
      </c>
      <c r="N526" s="401" t="str">
        <f>VLOOKUP(C526,'Tack Welding'!$D$5:$J$94,7,0)</f>
        <v xml:space="preserve">Completed </v>
      </c>
      <c r="O526" s="401"/>
      <c r="P526" s="401"/>
    </row>
    <row r="527" spans="1:16" s="136" customFormat="1" ht="18.75" hidden="1" customHeight="1">
      <c r="A527" s="401"/>
      <c r="B527" s="401"/>
      <c r="C527" s="622"/>
      <c r="D527" s="454"/>
      <c r="E527" s="454"/>
      <c r="F527" s="404"/>
      <c r="G527" s="756" t="str">
        <f>C526</f>
        <v>39/2</v>
      </c>
      <c r="H527" s="457">
        <v>385</v>
      </c>
      <c r="I527" s="410"/>
      <c r="J527" s="407"/>
      <c r="K527" s="401"/>
      <c r="L527" s="401"/>
      <c r="M527" s="401"/>
      <c r="N527" s="401"/>
      <c r="O527" s="401"/>
      <c r="P527" s="401"/>
    </row>
    <row r="528" spans="1:16" s="136" customFormat="1" ht="18.75" customHeight="1">
      <c r="A528" s="401">
        <f>SUBTOTAL(103,$C$6:C528)</f>
        <v>262</v>
      </c>
      <c r="B528" s="401"/>
      <c r="C528" s="407" t="s">
        <v>622</v>
      </c>
      <c r="D528" s="623" t="s">
        <v>170</v>
      </c>
      <c r="E528" s="623"/>
      <c r="F528" s="409"/>
      <c r="G528" s="401"/>
      <c r="H528" s="457"/>
      <c r="I528" s="410">
        <f>ROUND(H527/1000,4)+I526</f>
        <v>100.69979999999994</v>
      </c>
      <c r="J528" s="405" t="s">
        <v>50</v>
      </c>
      <c r="K528" s="401" t="s">
        <v>255</v>
      </c>
      <c r="L528" s="401" t="s">
        <v>255</v>
      </c>
      <c r="M528" s="401" t="s">
        <v>255</v>
      </c>
      <c r="N528" s="401" t="str">
        <f>VLOOKUP(C528,'Tack Welding'!$D$5:$J$94,7,0)</f>
        <v xml:space="preserve">Completed </v>
      </c>
      <c r="O528" s="401"/>
      <c r="P528" s="401"/>
    </row>
    <row r="529" spans="1:16" s="136" customFormat="1" ht="18.75" hidden="1" customHeight="1">
      <c r="A529" s="401"/>
      <c r="B529" s="401"/>
      <c r="C529" s="622"/>
      <c r="D529" s="454"/>
      <c r="E529" s="454"/>
      <c r="F529" s="404"/>
      <c r="G529" s="756" t="str">
        <f>C528</f>
        <v>39/3</v>
      </c>
      <c r="H529" s="457">
        <v>340</v>
      </c>
      <c r="I529" s="410"/>
      <c r="J529" s="407"/>
      <c r="K529" s="401"/>
      <c r="L529" s="401"/>
      <c r="M529" s="401"/>
      <c r="N529" s="401"/>
      <c r="O529" s="401"/>
      <c r="P529" s="401"/>
    </row>
    <row r="530" spans="1:16" s="136" customFormat="1" ht="18.75" customHeight="1">
      <c r="A530" s="401">
        <f>SUBTOTAL(103,$C$6:C530)</f>
        <v>263</v>
      </c>
      <c r="B530" s="401"/>
      <c r="C530" s="407" t="s">
        <v>623</v>
      </c>
      <c r="D530" s="623" t="s">
        <v>2</v>
      </c>
      <c r="E530" s="623"/>
      <c r="F530" s="409"/>
      <c r="G530" s="401"/>
      <c r="H530" s="457"/>
      <c r="I530" s="410">
        <f>ROUND(H529/1000,4)+I528</f>
        <v>101.03979999999994</v>
      </c>
      <c r="J530" s="405" t="s">
        <v>50</v>
      </c>
      <c r="K530" s="401" t="s">
        <v>255</v>
      </c>
      <c r="L530" s="401" t="s">
        <v>255</v>
      </c>
      <c r="M530" s="401" t="s">
        <v>255</v>
      </c>
      <c r="N530" s="401" t="str">
        <f>VLOOKUP(C530,'Tack Welding'!$D$5:$J$94,7,0)</f>
        <v xml:space="preserve">Completed </v>
      </c>
      <c r="O530" s="401"/>
      <c r="P530" s="401"/>
    </row>
    <row r="531" spans="1:16" s="136" customFormat="1" ht="18.75" hidden="1" customHeight="1">
      <c r="A531" s="401"/>
      <c r="B531" s="401"/>
      <c r="C531" s="622"/>
      <c r="D531" s="454"/>
      <c r="E531" s="454"/>
      <c r="F531" s="404"/>
      <c r="G531" s="756" t="str">
        <f>C530</f>
        <v>39/4</v>
      </c>
      <c r="H531" s="457">
        <v>395</v>
      </c>
      <c r="I531" s="410"/>
      <c r="J531" s="407"/>
      <c r="K531" s="401"/>
      <c r="L531" s="401"/>
      <c r="M531" s="401"/>
      <c r="N531" s="401"/>
      <c r="O531" s="401"/>
      <c r="P531" s="401"/>
    </row>
    <row r="532" spans="1:16" s="136" customFormat="1" ht="18.75" customHeight="1">
      <c r="A532" s="401">
        <f>SUBTOTAL(103,$C$6:C532)</f>
        <v>264</v>
      </c>
      <c r="B532" s="401"/>
      <c r="C532" s="407" t="s">
        <v>624</v>
      </c>
      <c r="D532" s="623" t="s">
        <v>170</v>
      </c>
      <c r="E532" s="623"/>
      <c r="F532" s="409"/>
      <c r="G532" s="401"/>
      <c r="H532" s="457"/>
      <c r="I532" s="410">
        <f>ROUND(H531/1000,4)+I530</f>
        <v>101.43479999999994</v>
      </c>
      <c r="J532" s="405" t="s">
        <v>50</v>
      </c>
      <c r="K532" s="401" t="s">
        <v>255</v>
      </c>
      <c r="L532" s="401" t="s">
        <v>255</v>
      </c>
      <c r="M532" s="401" t="s">
        <v>255</v>
      </c>
      <c r="N532" s="401" t="str">
        <f>VLOOKUP(C532,'Tack Welding'!$D$5:$J$94,7,0)</f>
        <v xml:space="preserve">Completed </v>
      </c>
      <c r="O532" s="401"/>
      <c r="P532" s="401"/>
    </row>
    <row r="533" spans="1:16" s="136" customFormat="1" ht="18.75" hidden="1" customHeight="1">
      <c r="A533" s="401"/>
      <c r="B533" s="401"/>
      <c r="C533" s="622"/>
      <c r="D533" s="454"/>
      <c r="E533" s="454"/>
      <c r="F533" s="404"/>
      <c r="G533" s="756" t="str">
        <f>C532</f>
        <v>39/5</v>
      </c>
      <c r="H533" s="457">
        <v>410</v>
      </c>
      <c r="I533" s="410"/>
      <c r="J533" s="407"/>
      <c r="K533" s="401"/>
      <c r="L533" s="401"/>
      <c r="M533" s="401"/>
      <c r="N533" s="401"/>
      <c r="O533" s="401"/>
      <c r="P533" s="401"/>
    </row>
    <row r="534" spans="1:16" s="136" customFormat="1" ht="18.75" customHeight="1">
      <c r="A534" s="401">
        <f>SUBTOTAL(103,$C$6:C534)</f>
        <v>265</v>
      </c>
      <c r="B534" s="401"/>
      <c r="C534" s="407" t="s">
        <v>625</v>
      </c>
      <c r="D534" s="623" t="s">
        <v>170</v>
      </c>
      <c r="E534" s="623"/>
      <c r="F534" s="409"/>
      <c r="G534" s="401"/>
      <c r="H534" s="461"/>
      <c r="I534" s="410">
        <f>ROUND(H533/1000,4)+I532</f>
        <v>101.84479999999994</v>
      </c>
      <c r="J534" s="405" t="s">
        <v>50</v>
      </c>
      <c r="K534" s="401" t="s">
        <v>255</v>
      </c>
      <c r="L534" s="401" t="s">
        <v>255</v>
      </c>
      <c r="M534" s="401" t="s">
        <v>255</v>
      </c>
      <c r="N534" s="401" t="str">
        <f>VLOOKUP(C534,'Tack Welding'!$D$5:$J$94,7,0)</f>
        <v xml:space="preserve">Completed </v>
      </c>
      <c r="O534" s="401"/>
      <c r="P534" s="401"/>
    </row>
    <row r="535" spans="1:16" s="136" customFormat="1" ht="18.75" hidden="1" customHeight="1">
      <c r="A535" s="401"/>
      <c r="B535" s="401"/>
      <c r="C535" s="622"/>
      <c r="D535" s="454"/>
      <c r="E535" s="454"/>
      <c r="F535" s="404"/>
      <c r="G535" s="756" t="str">
        <f>C534</f>
        <v>39/6</v>
      </c>
      <c r="H535" s="457">
        <v>415</v>
      </c>
      <c r="I535" s="410"/>
      <c r="J535" s="407"/>
      <c r="K535" s="401"/>
      <c r="L535" s="401"/>
      <c r="M535" s="401"/>
      <c r="N535" s="401"/>
      <c r="O535" s="401"/>
      <c r="P535" s="401"/>
    </row>
    <row r="536" spans="1:16" s="136" customFormat="1" ht="18.75" customHeight="1">
      <c r="A536" s="401">
        <f>SUBTOTAL(103,$C$6:C536)</f>
        <v>266</v>
      </c>
      <c r="B536" s="401"/>
      <c r="C536" s="407" t="s">
        <v>626</v>
      </c>
      <c r="D536" s="623" t="s">
        <v>2</v>
      </c>
      <c r="E536" s="623"/>
      <c r="F536" s="409"/>
      <c r="G536" s="401"/>
      <c r="H536" s="457"/>
      <c r="I536" s="410">
        <f>ROUND(H535/1000,4)+I534</f>
        <v>102.25979999999994</v>
      </c>
      <c r="J536" s="405" t="s">
        <v>50</v>
      </c>
      <c r="K536" s="401" t="s">
        <v>255</v>
      </c>
      <c r="L536" s="401" t="s">
        <v>255</v>
      </c>
      <c r="M536" s="401" t="s">
        <v>255</v>
      </c>
      <c r="N536" s="401" t="str">
        <f>VLOOKUP(C536,'Tack Welding'!$D$5:$J$94,7,0)</f>
        <v xml:space="preserve">Completed </v>
      </c>
      <c r="O536" s="401"/>
      <c r="P536" s="401"/>
    </row>
    <row r="537" spans="1:16" s="136" customFormat="1" ht="18.75" hidden="1" customHeight="1">
      <c r="A537" s="401"/>
      <c r="B537" s="401"/>
      <c r="C537" s="622"/>
      <c r="D537" s="454"/>
      <c r="E537" s="454"/>
      <c r="F537" s="404"/>
      <c r="G537" s="756" t="str">
        <f>C536</f>
        <v>39/7</v>
      </c>
      <c r="H537" s="457">
        <v>415</v>
      </c>
      <c r="I537" s="410"/>
      <c r="J537" s="407"/>
      <c r="K537" s="401"/>
      <c r="L537" s="401"/>
      <c r="M537" s="401"/>
      <c r="N537" s="401"/>
      <c r="O537" s="401"/>
      <c r="P537" s="401"/>
    </row>
    <row r="538" spans="1:16" s="136" customFormat="1" ht="18.75" customHeight="1">
      <c r="A538" s="401">
        <f>SUBTOTAL(103,$C$6:C538)</f>
        <v>267</v>
      </c>
      <c r="B538" s="401"/>
      <c r="C538" s="407" t="s">
        <v>627</v>
      </c>
      <c r="D538" s="623" t="s">
        <v>170</v>
      </c>
      <c r="E538" s="623"/>
      <c r="F538" s="409"/>
      <c r="G538" s="401"/>
      <c r="H538" s="457"/>
      <c r="I538" s="410">
        <f>ROUND(H537/1000,4)+I536</f>
        <v>102.67479999999995</v>
      </c>
      <c r="J538" s="405" t="s">
        <v>50</v>
      </c>
      <c r="K538" s="401" t="s">
        <v>255</v>
      </c>
      <c r="L538" s="401" t="s">
        <v>255</v>
      </c>
      <c r="M538" s="401" t="s">
        <v>255</v>
      </c>
      <c r="N538" s="401" t="str">
        <f>VLOOKUP(C538,'Tack Welding'!$D$5:$J$94,7,0)</f>
        <v xml:space="preserve">Completed </v>
      </c>
      <c r="O538" s="401"/>
      <c r="P538" s="401"/>
    </row>
    <row r="539" spans="1:16" s="136" customFormat="1" ht="18.75" hidden="1" customHeight="1">
      <c r="A539" s="401"/>
      <c r="B539" s="401"/>
      <c r="C539" s="622"/>
      <c r="D539" s="454"/>
      <c r="E539" s="454"/>
      <c r="F539" s="404"/>
      <c r="G539" s="756" t="str">
        <f>C538</f>
        <v>39/8</v>
      </c>
      <c r="H539" s="457">
        <v>350</v>
      </c>
      <c r="I539" s="410"/>
      <c r="J539" s="407"/>
      <c r="K539" s="401"/>
      <c r="L539" s="401"/>
      <c r="M539" s="401"/>
      <c r="N539" s="401"/>
      <c r="O539" s="401"/>
      <c r="P539" s="401"/>
    </row>
    <row r="540" spans="1:16" s="136" customFormat="1" ht="18.75" customHeight="1">
      <c r="A540" s="401">
        <f>SUBTOTAL(103,$C$6:C540)</f>
        <v>268</v>
      </c>
      <c r="B540" s="401"/>
      <c r="C540" s="407" t="s">
        <v>628</v>
      </c>
      <c r="D540" s="623" t="s">
        <v>79</v>
      </c>
      <c r="E540" s="623"/>
      <c r="F540" s="409"/>
      <c r="G540" s="401"/>
      <c r="H540" s="457"/>
      <c r="I540" s="410">
        <f>ROUND(H539/1000,4)+I538</f>
        <v>103.02479999999994</v>
      </c>
      <c r="J540" s="405" t="s">
        <v>50</v>
      </c>
      <c r="K540" s="401" t="s">
        <v>255</v>
      </c>
      <c r="L540" s="401" t="s">
        <v>255</v>
      </c>
      <c r="M540" s="401" t="s">
        <v>255</v>
      </c>
      <c r="N540" s="401" t="str">
        <f>VLOOKUP(C540,'Tack Welding'!$D$5:$J$94,7,0)</f>
        <v xml:space="preserve">Completed </v>
      </c>
      <c r="O540" s="401"/>
      <c r="P540" s="401"/>
    </row>
    <row r="541" spans="1:16" s="136" customFormat="1" ht="18.75" hidden="1" customHeight="1">
      <c r="A541" s="401"/>
      <c r="B541" s="401"/>
      <c r="C541" s="622"/>
      <c r="D541" s="454"/>
      <c r="E541" s="454"/>
      <c r="F541" s="404"/>
      <c r="G541" s="756" t="str">
        <f>C540</f>
        <v>39/9</v>
      </c>
      <c r="H541" s="457">
        <v>425</v>
      </c>
      <c r="I541" s="410"/>
      <c r="J541" s="407"/>
      <c r="K541" s="401"/>
      <c r="L541" s="401"/>
      <c r="M541" s="401"/>
      <c r="N541" s="401"/>
      <c r="O541" s="401"/>
      <c r="P541" s="401"/>
    </row>
    <row r="542" spans="1:16" s="136" customFormat="1" ht="18.75" customHeight="1">
      <c r="A542" s="401">
        <f>SUBTOTAL(103,$C$6:C542)</f>
        <v>269</v>
      </c>
      <c r="B542" s="401"/>
      <c r="C542" s="407" t="s">
        <v>629</v>
      </c>
      <c r="D542" s="623" t="s">
        <v>2</v>
      </c>
      <c r="E542" s="623"/>
      <c r="F542" s="409"/>
      <c r="G542" s="401"/>
      <c r="H542" s="457"/>
      <c r="I542" s="410">
        <f>ROUND(H541/1000,4)+I540</f>
        <v>103.44979999999994</v>
      </c>
      <c r="J542" s="405" t="s">
        <v>50</v>
      </c>
      <c r="K542" s="401" t="s">
        <v>255</v>
      </c>
      <c r="L542" s="401" t="s">
        <v>255</v>
      </c>
      <c r="M542" s="401" t="s">
        <v>255</v>
      </c>
      <c r="N542" s="401" t="str">
        <f>VLOOKUP(C542,'Tack Welding'!$D$5:$J$94,7,0)</f>
        <v xml:space="preserve">Completed </v>
      </c>
      <c r="O542" s="401"/>
      <c r="P542" s="401"/>
    </row>
    <row r="543" spans="1:16" s="136" customFormat="1" ht="18.75" hidden="1" customHeight="1">
      <c r="A543" s="401"/>
      <c r="B543" s="401"/>
      <c r="C543" s="622"/>
      <c r="D543" s="454"/>
      <c r="E543" s="454"/>
      <c r="F543" s="404"/>
      <c r="G543" s="756" t="str">
        <f>C542</f>
        <v>39/10</v>
      </c>
      <c r="H543" s="457">
        <v>350</v>
      </c>
      <c r="I543" s="410"/>
      <c r="J543" s="407"/>
      <c r="K543" s="401"/>
      <c r="L543" s="401"/>
      <c r="M543" s="401"/>
      <c r="N543" s="401"/>
      <c r="O543" s="401"/>
      <c r="P543" s="401"/>
    </row>
    <row r="544" spans="1:16" s="136" customFormat="1" ht="18.75" customHeight="1">
      <c r="A544" s="401">
        <f>SUBTOTAL(103,$C$6:C544)</f>
        <v>270</v>
      </c>
      <c r="B544" s="401"/>
      <c r="C544" s="407" t="s">
        <v>630</v>
      </c>
      <c r="D544" s="623" t="s">
        <v>79</v>
      </c>
      <c r="E544" s="623"/>
      <c r="F544" s="409"/>
      <c r="G544" s="401"/>
      <c r="H544" s="457"/>
      <c r="I544" s="410">
        <f>ROUND(H543/1000,4)+I542</f>
        <v>103.79979999999993</v>
      </c>
      <c r="J544" s="405" t="s">
        <v>50</v>
      </c>
      <c r="K544" s="401" t="s">
        <v>255</v>
      </c>
      <c r="L544" s="401" t="s">
        <v>255</v>
      </c>
      <c r="M544" s="401" t="s">
        <v>255</v>
      </c>
      <c r="N544" s="401" t="str">
        <f>VLOOKUP(C544,'Tack Welding'!$D$5:$J$94,7,0)</f>
        <v xml:space="preserve">Completed </v>
      </c>
      <c r="O544" s="401"/>
      <c r="P544" s="401"/>
    </row>
    <row r="545" spans="1:16" s="136" customFormat="1" ht="18.75" hidden="1" customHeight="1">
      <c r="A545" s="401"/>
      <c r="B545" s="401"/>
      <c r="C545" s="622"/>
      <c r="D545" s="454"/>
      <c r="E545" s="454"/>
      <c r="F545" s="404"/>
      <c r="G545" s="756" t="str">
        <f>C544</f>
        <v>39/11</v>
      </c>
      <c r="H545" s="457">
        <v>444.08100000000002</v>
      </c>
      <c r="I545" s="410"/>
      <c r="J545" s="407"/>
      <c r="K545" s="401"/>
      <c r="L545" s="401"/>
      <c r="M545" s="401"/>
      <c r="N545" s="401"/>
      <c r="O545" s="401"/>
      <c r="P545" s="401"/>
    </row>
    <row r="546" spans="1:16" s="136" customFormat="1" ht="18.75" customHeight="1">
      <c r="A546" s="401">
        <f>SUBTOTAL(103,$C$6:C546)</f>
        <v>271</v>
      </c>
      <c r="B546" s="402" t="s">
        <v>631</v>
      </c>
      <c r="C546" s="407" t="s">
        <v>74</v>
      </c>
      <c r="D546" s="623" t="s">
        <v>227</v>
      </c>
      <c r="E546" s="623"/>
      <c r="F546" s="404"/>
      <c r="G546" s="403"/>
      <c r="H546" s="462"/>
      <c r="I546" s="410">
        <f>ROUND(H545/1000,4)+I544</f>
        <v>104.24389999999994</v>
      </c>
      <c r="J546" s="405" t="s">
        <v>50</v>
      </c>
      <c r="K546" s="401" t="s">
        <v>255</v>
      </c>
      <c r="L546" s="401" t="s">
        <v>255</v>
      </c>
      <c r="M546" s="401" t="s">
        <v>255</v>
      </c>
      <c r="N546" s="401"/>
      <c r="O546" s="401" t="s">
        <v>964</v>
      </c>
      <c r="P546" s="401"/>
    </row>
    <row r="547" spans="1:16" s="136" customFormat="1" ht="18.75" hidden="1" customHeight="1">
      <c r="A547" s="401"/>
      <c r="B547" s="401"/>
      <c r="C547" s="622"/>
      <c r="D547" s="454"/>
      <c r="E547" s="454"/>
      <c r="F547" s="404"/>
      <c r="G547" s="756" t="str">
        <f>C546</f>
        <v>40/0</v>
      </c>
      <c r="H547" s="457">
        <v>260.91800000000001</v>
      </c>
      <c r="I547" s="410"/>
      <c r="J547" s="407"/>
      <c r="K547" s="401"/>
      <c r="L547" s="401"/>
      <c r="M547" s="401"/>
      <c r="N547" s="401"/>
      <c r="O547" s="401"/>
      <c r="P547" s="401"/>
    </row>
    <row r="548" spans="1:16" s="136" customFormat="1" ht="18.75" customHeight="1">
      <c r="A548" s="401">
        <f>SUBTOTAL(103,$C$6:C548)</f>
        <v>272</v>
      </c>
      <c r="B548" s="401"/>
      <c r="C548" s="407" t="s">
        <v>206</v>
      </c>
      <c r="D548" s="623" t="s">
        <v>49</v>
      </c>
      <c r="E548" s="623"/>
      <c r="F548" s="409">
        <v>2</v>
      </c>
      <c r="G548" s="401"/>
      <c r="H548" s="457"/>
      <c r="I548" s="410">
        <f>ROUND(H547/1000,4)+I546</f>
        <v>104.50479999999995</v>
      </c>
      <c r="J548" s="405" t="s">
        <v>50</v>
      </c>
      <c r="K548" s="401" t="s">
        <v>255</v>
      </c>
      <c r="L548" s="401" t="s">
        <v>255</v>
      </c>
      <c r="M548" s="401" t="s">
        <v>255</v>
      </c>
      <c r="N548" s="401"/>
      <c r="O548" s="401"/>
      <c r="P548" s="401"/>
    </row>
    <row r="549" spans="1:16" s="136" customFormat="1" ht="18.75" hidden="1" customHeight="1">
      <c r="A549" s="401"/>
      <c r="B549" s="401"/>
      <c r="C549" s="622"/>
      <c r="D549" s="454"/>
      <c r="E549" s="454"/>
      <c r="F549" s="404"/>
      <c r="G549" s="756" t="str">
        <f>C548</f>
        <v>40/1</v>
      </c>
      <c r="H549" s="457">
        <v>385</v>
      </c>
      <c r="I549" s="410"/>
      <c r="J549" s="407"/>
      <c r="K549" s="401"/>
      <c r="L549" s="401"/>
      <c r="M549" s="401"/>
      <c r="N549" s="401"/>
      <c r="O549" s="401"/>
      <c r="P549" s="401"/>
    </row>
    <row r="550" spans="1:16" s="136" customFormat="1" ht="18.75" customHeight="1">
      <c r="A550" s="401">
        <f>SUBTOTAL(103,$C$6:C550)</f>
        <v>273</v>
      </c>
      <c r="B550" s="401"/>
      <c r="C550" s="407" t="s">
        <v>207</v>
      </c>
      <c r="D550" s="623" t="s">
        <v>79</v>
      </c>
      <c r="E550" s="623"/>
      <c r="F550" s="409"/>
      <c r="G550" s="401"/>
      <c r="H550" s="457"/>
      <c r="I550" s="410">
        <f>ROUND(H549/1000,4)+I548</f>
        <v>104.88979999999995</v>
      </c>
      <c r="J550" s="405" t="s">
        <v>50</v>
      </c>
      <c r="K550" s="401" t="s">
        <v>255</v>
      </c>
      <c r="L550" s="401" t="s">
        <v>255</v>
      </c>
      <c r="M550" s="401" t="s">
        <v>255</v>
      </c>
      <c r="N550" s="401" t="str">
        <f>VLOOKUP(C550,'Tack Welding'!$D$5:$J$94,7,0)</f>
        <v xml:space="preserve">Completed </v>
      </c>
      <c r="O550" s="401"/>
      <c r="P550" s="401"/>
    </row>
    <row r="551" spans="1:16" s="136" customFormat="1" ht="18.75" hidden="1" customHeight="1">
      <c r="A551" s="401"/>
      <c r="B551" s="401"/>
      <c r="C551" s="622"/>
      <c r="D551" s="454"/>
      <c r="E551" s="454"/>
      <c r="F551" s="404"/>
      <c r="G551" s="756" t="str">
        <f>C550</f>
        <v>40/2</v>
      </c>
      <c r="H551" s="457">
        <v>435</v>
      </c>
      <c r="I551" s="410"/>
      <c r="J551" s="407"/>
      <c r="K551" s="401"/>
      <c r="L551" s="401"/>
      <c r="M551" s="401"/>
      <c r="N551" s="401"/>
      <c r="O551" s="401"/>
      <c r="P551" s="401"/>
    </row>
    <row r="552" spans="1:16" s="136" customFormat="1" ht="18.75" customHeight="1">
      <c r="A552" s="401">
        <f>SUBTOTAL(103,$C$6:C552)</f>
        <v>274</v>
      </c>
      <c r="B552" s="401"/>
      <c r="C552" s="407" t="s">
        <v>5</v>
      </c>
      <c r="D552" s="623" t="s">
        <v>2</v>
      </c>
      <c r="E552" s="623"/>
      <c r="F552" s="409"/>
      <c r="G552" s="401"/>
      <c r="H552" s="457"/>
      <c r="I552" s="410">
        <f>ROUND(H551/1000,4)+I550</f>
        <v>105.32479999999995</v>
      </c>
      <c r="J552" s="405" t="s">
        <v>50</v>
      </c>
      <c r="K552" s="401" t="s">
        <v>255</v>
      </c>
      <c r="L552" s="401" t="s">
        <v>255</v>
      </c>
      <c r="M552" s="401" t="s">
        <v>255</v>
      </c>
      <c r="N552" s="401" t="str">
        <f>VLOOKUP(C552,'Tack Welding'!$D$5:$J$94,7,0)</f>
        <v xml:space="preserve">Completed </v>
      </c>
      <c r="O552" s="401"/>
      <c r="P552" s="401"/>
    </row>
    <row r="553" spans="1:16" s="136" customFormat="1" ht="18.75" hidden="1" customHeight="1">
      <c r="A553" s="401"/>
      <c r="B553" s="401"/>
      <c r="C553" s="622"/>
      <c r="D553" s="454"/>
      <c r="E553" s="454"/>
      <c r="F553" s="404"/>
      <c r="G553" s="756" t="str">
        <f>C552</f>
        <v>40/3</v>
      </c>
      <c r="H553" s="457">
        <v>385</v>
      </c>
      <c r="I553" s="410"/>
      <c r="J553" s="407"/>
      <c r="K553" s="401"/>
      <c r="L553" s="401"/>
      <c r="M553" s="401"/>
      <c r="N553" s="401"/>
      <c r="O553" s="401"/>
      <c r="P553" s="401"/>
    </row>
    <row r="554" spans="1:16" s="136" customFormat="1" ht="18.75" customHeight="1">
      <c r="A554" s="401">
        <f>SUBTOTAL(103,$C$6:C554)</f>
        <v>275</v>
      </c>
      <c r="B554" s="401"/>
      <c r="C554" s="407" t="s">
        <v>6</v>
      </c>
      <c r="D554" s="623" t="s">
        <v>79</v>
      </c>
      <c r="E554" s="623"/>
      <c r="F554" s="409"/>
      <c r="G554" s="401"/>
      <c r="H554" s="457"/>
      <c r="I554" s="410">
        <f>ROUND(H553/1000,4)+I552</f>
        <v>105.70979999999996</v>
      </c>
      <c r="J554" s="405" t="s">
        <v>50</v>
      </c>
      <c r="K554" s="401" t="s">
        <v>255</v>
      </c>
      <c r="L554" s="401" t="s">
        <v>255</v>
      </c>
      <c r="M554" s="401" t="s">
        <v>255</v>
      </c>
      <c r="N554" s="401" t="str">
        <f>VLOOKUP(C554,'Tack Welding'!$D$5:$J$94,7,0)</f>
        <v xml:space="preserve">Completed </v>
      </c>
      <c r="O554" s="401"/>
      <c r="P554" s="401"/>
    </row>
    <row r="555" spans="1:16" s="136" customFormat="1" ht="18.75" hidden="1" customHeight="1">
      <c r="A555" s="401"/>
      <c r="B555" s="401"/>
      <c r="C555" s="622"/>
      <c r="D555" s="454"/>
      <c r="E555" s="454"/>
      <c r="F555" s="404"/>
      <c r="G555" s="756" t="str">
        <f>C554</f>
        <v>40/4</v>
      </c>
      <c r="H555" s="457">
        <v>455</v>
      </c>
      <c r="I555" s="410"/>
      <c r="J555" s="407"/>
      <c r="K555" s="401"/>
      <c r="L555" s="401"/>
      <c r="M555" s="401"/>
      <c r="N555" s="401"/>
      <c r="O555" s="401"/>
      <c r="P555" s="401"/>
    </row>
    <row r="556" spans="1:16" s="136" customFormat="1" ht="18.75" customHeight="1">
      <c r="A556" s="401">
        <f>SUBTOTAL(103,$C$6:C556)</f>
        <v>276</v>
      </c>
      <c r="B556" s="401"/>
      <c r="C556" s="407" t="s">
        <v>632</v>
      </c>
      <c r="D556" s="623" t="s">
        <v>49</v>
      </c>
      <c r="E556" s="623"/>
      <c r="F556" s="409"/>
      <c r="G556" s="401"/>
      <c r="H556" s="457"/>
      <c r="I556" s="410">
        <f>ROUND(H555/1000,4)+I554</f>
        <v>106.16479999999996</v>
      </c>
      <c r="J556" s="405" t="s">
        <v>50</v>
      </c>
      <c r="K556" s="401" t="s">
        <v>255</v>
      </c>
      <c r="L556" s="401" t="s">
        <v>255</v>
      </c>
      <c r="M556" s="401" t="s">
        <v>255</v>
      </c>
      <c r="N556" s="401" t="str">
        <f>VLOOKUP(C556,'Tack Welding'!$D$5:$J$94,7,0)</f>
        <v xml:space="preserve">Completed </v>
      </c>
      <c r="O556" s="401"/>
      <c r="P556" s="401"/>
    </row>
    <row r="557" spans="1:16" s="136" customFormat="1" ht="18.75" hidden="1" customHeight="1">
      <c r="A557" s="401"/>
      <c r="B557" s="401"/>
      <c r="C557" s="622"/>
      <c r="D557" s="454"/>
      <c r="E557" s="454"/>
      <c r="F557" s="404"/>
      <c r="G557" s="756" t="str">
        <f>C556</f>
        <v>40/5</v>
      </c>
      <c r="H557" s="457">
        <v>370</v>
      </c>
      <c r="I557" s="410"/>
      <c r="J557" s="407"/>
      <c r="K557" s="401"/>
      <c r="L557" s="401"/>
      <c r="M557" s="401"/>
      <c r="N557" s="401"/>
      <c r="O557" s="401"/>
      <c r="P557" s="401"/>
    </row>
    <row r="558" spans="1:16" s="136" customFormat="1" ht="18.75" customHeight="1">
      <c r="A558" s="401">
        <f>SUBTOTAL(103,$C$6:C558)</f>
        <v>277</v>
      </c>
      <c r="B558" s="401"/>
      <c r="C558" s="407" t="s">
        <v>633</v>
      </c>
      <c r="D558" s="623" t="s">
        <v>49</v>
      </c>
      <c r="E558" s="623"/>
      <c r="F558" s="409"/>
      <c r="G558" s="401"/>
      <c r="H558" s="457"/>
      <c r="I558" s="410">
        <f>ROUND(H557/1000,4)+I556</f>
        <v>106.53479999999996</v>
      </c>
      <c r="J558" s="405" t="s">
        <v>50</v>
      </c>
      <c r="K558" s="401" t="s">
        <v>255</v>
      </c>
      <c r="L558" s="401" t="s">
        <v>255</v>
      </c>
      <c r="M558" s="401" t="s">
        <v>255</v>
      </c>
      <c r="N558" s="401" t="str">
        <f>VLOOKUP(C558,'Tack Welding'!$D$5:$J$94,7,0)</f>
        <v xml:space="preserve">Completed </v>
      </c>
      <c r="O558" s="401"/>
      <c r="P558" s="401"/>
    </row>
    <row r="559" spans="1:16" s="136" customFormat="1" ht="18.75" hidden="1" customHeight="1">
      <c r="A559" s="401"/>
      <c r="B559" s="401"/>
      <c r="C559" s="622"/>
      <c r="D559" s="454"/>
      <c r="E559" s="454"/>
      <c r="F559" s="404"/>
      <c r="G559" s="756" t="str">
        <f>C558</f>
        <v>40/6</v>
      </c>
      <c r="H559" s="457">
        <v>400</v>
      </c>
      <c r="I559" s="410"/>
      <c r="J559" s="407"/>
      <c r="K559" s="401"/>
      <c r="L559" s="401"/>
      <c r="M559" s="401"/>
      <c r="N559" s="401"/>
      <c r="O559" s="401"/>
      <c r="P559" s="401"/>
    </row>
    <row r="560" spans="1:16" s="136" customFormat="1" ht="18.75" customHeight="1">
      <c r="A560" s="401">
        <f>SUBTOTAL(103,$C$6:C560)</f>
        <v>278</v>
      </c>
      <c r="B560" s="401"/>
      <c r="C560" s="407" t="s">
        <v>634</v>
      </c>
      <c r="D560" s="623" t="s">
        <v>2</v>
      </c>
      <c r="E560" s="623"/>
      <c r="F560" s="409"/>
      <c r="G560" s="401"/>
      <c r="H560" s="457"/>
      <c r="I560" s="410">
        <f>ROUND(H559/1000,4)+I558</f>
        <v>106.93479999999997</v>
      </c>
      <c r="J560" s="405" t="s">
        <v>50</v>
      </c>
      <c r="K560" s="401" t="s">
        <v>255</v>
      </c>
      <c r="L560" s="401" t="s">
        <v>255</v>
      </c>
      <c r="M560" s="401" t="s">
        <v>255</v>
      </c>
      <c r="N560" s="401"/>
      <c r="O560" s="401"/>
      <c r="P560" s="401"/>
    </row>
    <row r="561" spans="1:16" s="136" customFormat="1" ht="18.75" hidden="1" customHeight="1">
      <c r="A561" s="401"/>
      <c r="B561" s="401"/>
      <c r="C561" s="622"/>
      <c r="D561" s="454"/>
      <c r="E561" s="454"/>
      <c r="F561" s="404"/>
      <c r="G561" s="756" t="str">
        <f>C560</f>
        <v>40/7</v>
      </c>
      <c r="H561" s="457">
        <v>350</v>
      </c>
      <c r="I561" s="410"/>
      <c r="J561" s="407"/>
      <c r="K561" s="401"/>
      <c r="L561" s="401"/>
      <c r="M561" s="401"/>
      <c r="N561" s="401"/>
      <c r="O561" s="401"/>
      <c r="P561" s="401"/>
    </row>
    <row r="562" spans="1:16" s="136" customFormat="1" ht="18.75" customHeight="1">
      <c r="A562" s="401">
        <f>SUBTOTAL(103,$C$6:C562)</f>
        <v>279</v>
      </c>
      <c r="B562" s="401"/>
      <c r="C562" s="407" t="s">
        <v>635</v>
      </c>
      <c r="D562" s="623" t="s">
        <v>154</v>
      </c>
      <c r="E562" s="623"/>
      <c r="F562" s="409"/>
      <c r="G562" s="401"/>
      <c r="H562" s="410"/>
      <c r="I562" s="410">
        <f>ROUND(H561/1000,4)+I560</f>
        <v>107.28479999999996</v>
      </c>
      <c r="J562" s="405" t="s">
        <v>50</v>
      </c>
      <c r="K562" s="401" t="s">
        <v>255</v>
      </c>
      <c r="L562" s="401" t="s">
        <v>255</v>
      </c>
      <c r="M562" s="401" t="s">
        <v>255</v>
      </c>
      <c r="N562" s="401"/>
      <c r="O562" s="401"/>
      <c r="P562" s="401"/>
    </row>
    <row r="563" spans="1:16" s="136" customFormat="1" ht="18.75" hidden="1" customHeight="1">
      <c r="A563" s="401"/>
      <c r="B563" s="401"/>
      <c r="C563" s="622"/>
      <c r="D563" s="454"/>
      <c r="E563" s="454"/>
      <c r="F563" s="404"/>
      <c r="G563" s="756" t="str">
        <f>C562</f>
        <v>40/8</v>
      </c>
      <c r="H563" s="410">
        <v>470</v>
      </c>
      <c r="I563" s="410"/>
      <c r="J563" s="407"/>
      <c r="K563" s="401"/>
      <c r="L563" s="401"/>
      <c r="M563" s="401"/>
      <c r="N563" s="401"/>
      <c r="O563" s="401"/>
      <c r="P563" s="401"/>
    </row>
    <row r="564" spans="1:16" s="136" customFormat="1" ht="18.75" customHeight="1">
      <c r="A564" s="401">
        <f>SUBTOTAL(103,$C$6:C564)</f>
        <v>280</v>
      </c>
      <c r="B564" s="401"/>
      <c r="C564" s="407" t="s">
        <v>636</v>
      </c>
      <c r="D564" s="623" t="s">
        <v>49</v>
      </c>
      <c r="E564" s="623"/>
      <c r="F564" s="409"/>
      <c r="G564" s="401"/>
      <c r="H564" s="410"/>
      <c r="I564" s="410">
        <f>ROUND(H563/1000,4)+I562</f>
        <v>107.75479999999996</v>
      </c>
      <c r="J564" s="405" t="s">
        <v>50</v>
      </c>
      <c r="K564" s="401" t="s">
        <v>255</v>
      </c>
      <c r="L564" s="401" t="s">
        <v>255</v>
      </c>
      <c r="M564" s="401" t="s">
        <v>255</v>
      </c>
      <c r="N564" s="401"/>
      <c r="O564" s="401"/>
      <c r="P564" s="401"/>
    </row>
    <row r="565" spans="1:16" s="136" customFormat="1" ht="18.75" hidden="1" customHeight="1">
      <c r="A565" s="401"/>
      <c r="B565" s="401"/>
      <c r="C565" s="622"/>
      <c r="D565" s="454"/>
      <c r="E565" s="454"/>
      <c r="F565" s="404"/>
      <c r="G565" s="756" t="str">
        <f>C564</f>
        <v>40/9</v>
      </c>
      <c r="H565" s="410">
        <v>355</v>
      </c>
      <c r="I565" s="410"/>
      <c r="J565" s="407"/>
      <c r="K565" s="401"/>
      <c r="L565" s="401"/>
      <c r="M565" s="401"/>
      <c r="N565" s="401"/>
      <c r="O565" s="401"/>
      <c r="P565" s="401"/>
    </row>
    <row r="566" spans="1:16" s="136" customFormat="1" ht="18.75" customHeight="1">
      <c r="A566" s="401">
        <f>SUBTOTAL(103,$C$6:C566)</f>
        <v>281</v>
      </c>
      <c r="B566" s="401"/>
      <c r="C566" s="407" t="s">
        <v>637</v>
      </c>
      <c r="D566" s="623" t="s">
        <v>2</v>
      </c>
      <c r="E566" s="623"/>
      <c r="F566" s="409"/>
      <c r="G566" s="401"/>
      <c r="H566" s="410"/>
      <c r="I566" s="410">
        <f>ROUND(H565/1000,4)+I564</f>
        <v>108.10979999999996</v>
      </c>
      <c r="J566" s="405" t="s">
        <v>50</v>
      </c>
      <c r="K566" s="401" t="s">
        <v>255</v>
      </c>
      <c r="L566" s="401" t="s">
        <v>255</v>
      </c>
      <c r="M566" s="401" t="s">
        <v>255</v>
      </c>
      <c r="N566" s="401"/>
      <c r="O566" s="401"/>
      <c r="P566" s="401"/>
    </row>
    <row r="567" spans="1:16" s="136" customFormat="1" ht="18.75" hidden="1" customHeight="1">
      <c r="A567" s="401"/>
      <c r="B567" s="401"/>
      <c r="C567" s="622"/>
      <c r="D567" s="454"/>
      <c r="E567" s="454"/>
      <c r="F567" s="404"/>
      <c r="G567" s="756" t="str">
        <f>C566</f>
        <v>40/10</v>
      </c>
      <c r="H567" s="410">
        <v>485</v>
      </c>
      <c r="I567" s="410"/>
      <c r="J567" s="407"/>
      <c r="K567" s="401"/>
      <c r="L567" s="401"/>
      <c r="M567" s="401"/>
      <c r="N567" s="401"/>
      <c r="O567" s="401"/>
      <c r="P567" s="401"/>
    </row>
    <row r="568" spans="1:16" s="136" customFormat="1" ht="18.75" customHeight="1">
      <c r="A568" s="401">
        <f>SUBTOTAL(103,$C$6:C568)</f>
        <v>282</v>
      </c>
      <c r="B568" s="401"/>
      <c r="C568" s="407" t="s">
        <v>638</v>
      </c>
      <c r="D568" s="623" t="s">
        <v>49</v>
      </c>
      <c r="E568" s="623"/>
      <c r="F568" s="409"/>
      <c r="G568" s="401"/>
      <c r="H568" s="410"/>
      <c r="I568" s="410">
        <f>ROUND(H567/1000,4)+I566</f>
        <v>108.59479999999996</v>
      </c>
      <c r="J568" s="405" t="s">
        <v>50</v>
      </c>
      <c r="K568" s="401" t="s">
        <v>255</v>
      </c>
      <c r="L568" s="401" t="s">
        <v>255</v>
      </c>
      <c r="M568" s="401" t="s">
        <v>255</v>
      </c>
      <c r="N568" s="401"/>
      <c r="O568" s="401"/>
      <c r="P568" s="401"/>
    </row>
    <row r="569" spans="1:16" s="136" customFormat="1" ht="18.75" hidden="1" customHeight="1">
      <c r="A569" s="401"/>
      <c r="B569" s="401"/>
      <c r="C569" s="622"/>
      <c r="D569" s="454"/>
      <c r="E569" s="454"/>
      <c r="F569" s="404"/>
      <c r="G569" s="756" t="str">
        <f>C568</f>
        <v>40/11</v>
      </c>
      <c r="H569" s="410">
        <v>315</v>
      </c>
      <c r="I569" s="410"/>
      <c r="J569" s="407"/>
      <c r="K569" s="401"/>
      <c r="L569" s="401"/>
      <c r="M569" s="401"/>
      <c r="N569" s="401"/>
      <c r="O569" s="401"/>
      <c r="P569" s="401"/>
    </row>
    <row r="570" spans="1:16" s="653" customFormat="1" ht="18.75" customHeight="1">
      <c r="A570" s="401">
        <f>SUBTOTAL(103,$C$6:C570)</f>
        <v>283</v>
      </c>
      <c r="B570" s="407" t="s">
        <v>639</v>
      </c>
      <c r="C570" s="407" t="s">
        <v>640</v>
      </c>
      <c r="D570" s="623" t="s">
        <v>211</v>
      </c>
      <c r="E570" s="623"/>
      <c r="F570" s="454"/>
      <c r="G570" s="759"/>
      <c r="H570" s="457"/>
      <c r="I570" s="457">
        <f>ROUND(H569/1000,4)+I568</f>
        <v>108.90979999999996</v>
      </c>
      <c r="J570" s="407" t="s">
        <v>50</v>
      </c>
      <c r="K570" s="407" t="s">
        <v>255</v>
      </c>
      <c r="L570" s="401" t="s">
        <v>255</v>
      </c>
      <c r="M570" s="407" t="s">
        <v>255</v>
      </c>
      <c r="N570" s="401"/>
      <c r="O570" s="407"/>
      <c r="P570" s="407"/>
    </row>
    <row r="571" spans="1:16" s="136" customFormat="1" ht="18.75" hidden="1" customHeight="1">
      <c r="A571" s="401"/>
      <c r="B571" s="401"/>
      <c r="C571" s="622"/>
      <c r="D571" s="454"/>
      <c r="E571" s="454"/>
      <c r="F571" s="404"/>
      <c r="G571" s="756" t="str">
        <f>C570</f>
        <v>40A/0</v>
      </c>
      <c r="H571" s="410">
        <v>410.61</v>
      </c>
      <c r="I571" s="410"/>
      <c r="J571" s="407"/>
      <c r="K571" s="401"/>
      <c r="L571" s="401"/>
      <c r="M571" s="401"/>
      <c r="N571" s="401"/>
      <c r="O571" s="401"/>
      <c r="P571" s="401"/>
    </row>
    <row r="572" spans="1:16" s="136" customFormat="1" ht="18.75" customHeight="1">
      <c r="A572" s="401">
        <f>SUBTOTAL(103,$C$6:C572)</f>
        <v>284</v>
      </c>
      <c r="B572" s="402" t="s">
        <v>641</v>
      </c>
      <c r="C572" s="407" t="s">
        <v>75</v>
      </c>
      <c r="D572" s="623" t="s">
        <v>211</v>
      </c>
      <c r="E572" s="623"/>
      <c r="F572" s="404"/>
      <c r="G572" s="403"/>
      <c r="H572" s="410"/>
      <c r="I572" s="410">
        <f>ROUND(H571/1000,4)+I570</f>
        <v>109.32039999999996</v>
      </c>
      <c r="J572" s="405" t="s">
        <v>50</v>
      </c>
      <c r="K572" s="401" t="s">
        <v>255</v>
      </c>
      <c r="L572" s="401" t="s">
        <v>255</v>
      </c>
      <c r="M572" s="401" t="s">
        <v>255</v>
      </c>
      <c r="N572" s="401"/>
      <c r="O572" s="401" t="s">
        <v>964</v>
      </c>
      <c r="P572" s="401"/>
    </row>
    <row r="573" spans="1:16" s="136" customFormat="1" ht="18.75" hidden="1" customHeight="1">
      <c r="A573" s="401"/>
      <c r="B573" s="401"/>
      <c r="C573" s="622"/>
      <c r="D573" s="454"/>
      <c r="E573" s="454"/>
      <c r="F573" s="404"/>
      <c r="G573" s="756" t="str">
        <f>C572</f>
        <v>41/0</v>
      </c>
      <c r="H573" s="410">
        <v>358</v>
      </c>
      <c r="I573" s="410"/>
      <c r="J573" s="407"/>
      <c r="K573" s="401"/>
      <c r="L573" s="401"/>
      <c r="M573" s="401"/>
      <c r="N573" s="401"/>
      <c r="O573" s="401"/>
      <c r="P573" s="401"/>
    </row>
    <row r="574" spans="1:16" s="136" customFormat="1" ht="18.75" customHeight="1">
      <c r="A574" s="401">
        <f>SUBTOTAL(103,$C$6:C574)</f>
        <v>285</v>
      </c>
      <c r="B574" s="401"/>
      <c r="C574" s="407" t="s">
        <v>76</v>
      </c>
      <c r="D574" s="623" t="s">
        <v>49</v>
      </c>
      <c r="E574" s="623"/>
      <c r="F574" s="409"/>
      <c r="G574" s="401"/>
      <c r="H574" s="410"/>
      <c r="I574" s="410">
        <f>ROUND(H573/1000,4)+I572</f>
        <v>109.67839999999997</v>
      </c>
      <c r="J574" s="405" t="s">
        <v>50</v>
      </c>
      <c r="K574" s="401" t="s">
        <v>255</v>
      </c>
      <c r="L574" s="401" t="s">
        <v>255</v>
      </c>
      <c r="M574" s="401" t="s">
        <v>255</v>
      </c>
      <c r="N574" s="401"/>
      <c r="O574" s="401"/>
      <c r="P574" s="401"/>
    </row>
    <row r="575" spans="1:16" s="136" customFormat="1" ht="18.75" hidden="1" customHeight="1">
      <c r="A575" s="401"/>
      <c r="B575" s="401"/>
      <c r="C575" s="622"/>
      <c r="D575" s="454"/>
      <c r="E575" s="454"/>
      <c r="F575" s="404"/>
      <c r="G575" s="756" t="str">
        <f>C574</f>
        <v>41/1</v>
      </c>
      <c r="H575" s="410">
        <v>465.78199999999998</v>
      </c>
      <c r="I575" s="410"/>
      <c r="J575" s="407"/>
      <c r="K575" s="401"/>
      <c r="L575" s="401"/>
      <c r="M575" s="401"/>
      <c r="N575" s="401"/>
      <c r="O575" s="401"/>
      <c r="P575" s="401"/>
    </row>
    <row r="576" spans="1:16" s="136" customFormat="1" ht="18.75" customHeight="1">
      <c r="A576" s="401">
        <f>SUBTOTAL(103,$C$6:C576)</f>
        <v>286</v>
      </c>
      <c r="B576" s="402" t="s">
        <v>642</v>
      </c>
      <c r="C576" s="407" t="s">
        <v>77</v>
      </c>
      <c r="D576" s="623" t="s">
        <v>184</v>
      </c>
      <c r="E576" s="623"/>
      <c r="F576" s="404"/>
      <c r="G576" s="403"/>
      <c r="H576" s="410"/>
      <c r="I576" s="410">
        <f>ROUND(H575/1000,4)+I574</f>
        <v>110.14419999999997</v>
      </c>
      <c r="J576" s="405" t="s">
        <v>50</v>
      </c>
      <c r="K576" s="401" t="s">
        <v>255</v>
      </c>
      <c r="L576" s="401" t="s">
        <v>255</v>
      </c>
      <c r="M576" s="401" t="s">
        <v>255</v>
      </c>
      <c r="N576" s="401"/>
      <c r="O576" s="401" t="s">
        <v>964</v>
      </c>
      <c r="P576" s="401"/>
    </row>
    <row r="577" spans="1:16" s="136" customFormat="1" ht="18.75" hidden="1" customHeight="1">
      <c r="A577" s="401"/>
      <c r="B577" s="401"/>
      <c r="C577" s="622"/>
      <c r="D577" s="454"/>
      <c r="E577" s="454"/>
      <c r="F577" s="404"/>
      <c r="G577" s="756" t="str">
        <f>C576</f>
        <v>42/0</v>
      </c>
      <c r="H577" s="410">
        <v>419.99799999999999</v>
      </c>
      <c r="I577" s="410"/>
      <c r="J577" s="407"/>
      <c r="K577" s="401"/>
      <c r="L577" s="401"/>
      <c r="M577" s="401"/>
      <c r="N577" s="401"/>
      <c r="O577" s="401"/>
      <c r="P577" s="401"/>
    </row>
    <row r="578" spans="1:16" s="136" customFormat="1" ht="18.75" customHeight="1">
      <c r="A578" s="401">
        <f>SUBTOTAL(103,$C$6:C578)</f>
        <v>287</v>
      </c>
      <c r="B578" s="401"/>
      <c r="C578" s="407" t="s">
        <v>171</v>
      </c>
      <c r="D578" s="623" t="s">
        <v>2</v>
      </c>
      <c r="E578" s="623"/>
      <c r="F578" s="409"/>
      <c r="G578" s="401"/>
      <c r="H578" s="410"/>
      <c r="I578" s="410">
        <f>ROUND(H577/1000,4)+I576</f>
        <v>110.56419999999997</v>
      </c>
      <c r="J578" s="405" t="s">
        <v>50</v>
      </c>
      <c r="K578" s="401" t="s">
        <v>255</v>
      </c>
      <c r="L578" s="401" t="s">
        <v>255</v>
      </c>
      <c r="M578" s="401" t="s">
        <v>255</v>
      </c>
      <c r="N578" s="401"/>
      <c r="O578" s="401"/>
      <c r="P578" s="401"/>
    </row>
    <row r="579" spans="1:16" s="136" customFormat="1" ht="18.75" hidden="1" customHeight="1">
      <c r="A579" s="401"/>
      <c r="B579" s="401"/>
      <c r="C579" s="622"/>
      <c r="D579" s="454"/>
      <c r="E579" s="454"/>
      <c r="F579" s="404"/>
      <c r="G579" s="756" t="str">
        <f>C578</f>
        <v>42/1</v>
      </c>
      <c r="H579" s="410">
        <v>375</v>
      </c>
      <c r="I579" s="410"/>
      <c r="J579" s="407"/>
      <c r="K579" s="401"/>
      <c r="L579" s="401"/>
      <c r="M579" s="401"/>
      <c r="N579" s="401"/>
      <c r="O579" s="401"/>
      <c r="P579" s="401"/>
    </row>
    <row r="580" spans="1:16" s="136" customFormat="1" ht="18.75" customHeight="1">
      <c r="A580" s="401">
        <f>SUBTOTAL(103,$C$6:C580)</f>
        <v>288</v>
      </c>
      <c r="B580" s="401"/>
      <c r="C580" s="407" t="s">
        <v>172</v>
      </c>
      <c r="D580" s="623" t="s">
        <v>49</v>
      </c>
      <c r="E580" s="623"/>
      <c r="F580" s="409"/>
      <c r="G580" s="401"/>
      <c r="H580" s="410"/>
      <c r="I580" s="410">
        <f>ROUND(H579/1000,4)+I578</f>
        <v>110.93919999999997</v>
      </c>
      <c r="J580" s="405" t="s">
        <v>50</v>
      </c>
      <c r="K580" s="401" t="s">
        <v>255</v>
      </c>
      <c r="L580" s="401" t="s">
        <v>255</v>
      </c>
      <c r="M580" s="401" t="s">
        <v>255</v>
      </c>
      <c r="N580" s="401"/>
      <c r="O580" s="401"/>
      <c r="P580" s="401"/>
    </row>
    <row r="581" spans="1:16" s="136" customFormat="1" ht="18.75" hidden="1" customHeight="1">
      <c r="A581" s="401"/>
      <c r="B581" s="401"/>
      <c r="C581" s="622"/>
      <c r="D581" s="454"/>
      <c r="E581" s="454"/>
      <c r="F581" s="404"/>
      <c r="G581" s="756" t="str">
        <f>C580</f>
        <v>42/2</v>
      </c>
      <c r="H581" s="410">
        <v>464</v>
      </c>
      <c r="I581" s="410"/>
      <c r="J581" s="407"/>
      <c r="K581" s="401"/>
      <c r="L581" s="401"/>
      <c r="M581" s="401"/>
      <c r="N581" s="401"/>
      <c r="O581" s="401"/>
      <c r="P581" s="401"/>
    </row>
    <row r="582" spans="1:16" s="136" customFormat="1" ht="18.75" customHeight="1">
      <c r="A582" s="401">
        <f>SUBTOTAL(103,$C$6:C582)</f>
        <v>289</v>
      </c>
      <c r="B582" s="401"/>
      <c r="C582" s="407" t="s">
        <v>1790</v>
      </c>
      <c r="D582" s="623" t="s">
        <v>211</v>
      </c>
      <c r="E582" s="623"/>
      <c r="F582" s="409"/>
      <c r="G582" s="401"/>
      <c r="H582" s="410"/>
      <c r="I582" s="410">
        <f>ROUND(H581/1000,4)+I580</f>
        <v>111.40319999999997</v>
      </c>
      <c r="J582" s="405" t="s">
        <v>50</v>
      </c>
      <c r="K582" s="401" t="s">
        <v>255</v>
      </c>
      <c r="L582" s="401" t="s">
        <v>255</v>
      </c>
      <c r="M582" s="401" t="s">
        <v>255</v>
      </c>
      <c r="N582" s="401"/>
      <c r="O582" s="401"/>
      <c r="P582" s="401"/>
    </row>
    <row r="583" spans="1:16" s="136" customFormat="1" ht="18.75" hidden="1" customHeight="1">
      <c r="A583" s="401"/>
      <c r="B583" s="401"/>
      <c r="C583" s="622"/>
      <c r="D583" s="454"/>
      <c r="E583" s="454"/>
      <c r="F583" s="404"/>
      <c r="G583" s="756" t="str">
        <f>C582</f>
        <v>42A/0</v>
      </c>
      <c r="H583" s="410">
        <v>424.89100000000002</v>
      </c>
      <c r="I583" s="410"/>
      <c r="J583" s="407"/>
      <c r="K583" s="401"/>
      <c r="L583" s="401"/>
      <c r="M583" s="401"/>
      <c r="N583" s="401"/>
      <c r="O583" s="401"/>
      <c r="P583" s="401"/>
    </row>
    <row r="584" spans="1:16" s="136" customFormat="1" ht="18.75" customHeight="1">
      <c r="A584" s="401">
        <f>SUBTOTAL(103,$C$6:C584)</f>
        <v>290</v>
      </c>
      <c r="B584" s="402" t="s">
        <v>643</v>
      </c>
      <c r="C584" s="407" t="s">
        <v>78</v>
      </c>
      <c r="D584" s="623" t="s">
        <v>197</v>
      </c>
      <c r="E584" s="623"/>
      <c r="F584" s="404"/>
      <c r="G584" s="403"/>
      <c r="H584" s="410"/>
      <c r="I584" s="410">
        <f>ROUND(H583/1000,4)+I582</f>
        <v>111.82809999999996</v>
      </c>
      <c r="J584" s="405" t="s">
        <v>50</v>
      </c>
      <c r="K584" s="401" t="s">
        <v>255</v>
      </c>
      <c r="L584" s="401" t="s">
        <v>255</v>
      </c>
      <c r="M584" s="401" t="s">
        <v>255</v>
      </c>
      <c r="N584" s="401"/>
      <c r="O584" s="401"/>
      <c r="P584" s="401"/>
    </row>
    <row r="585" spans="1:16" s="136" customFormat="1" ht="18.75" hidden="1" customHeight="1">
      <c r="A585" s="401"/>
      <c r="B585" s="401"/>
      <c r="C585" s="622"/>
      <c r="D585" s="454"/>
      <c r="E585" s="454"/>
      <c r="F585" s="404"/>
      <c r="G585" s="756" t="str">
        <f>C584</f>
        <v>43/0</v>
      </c>
      <c r="H585" s="410">
        <v>341.86599999999999</v>
      </c>
      <c r="I585" s="410"/>
      <c r="J585" s="407"/>
      <c r="K585" s="401"/>
      <c r="L585" s="401"/>
      <c r="M585" s="401"/>
      <c r="N585" s="401"/>
      <c r="O585" s="401"/>
      <c r="P585" s="401"/>
    </row>
    <row r="586" spans="1:16" s="136" customFormat="1" ht="18.75" customHeight="1">
      <c r="A586" s="401">
        <f>SUBTOTAL(103,$C$6:C586)</f>
        <v>291</v>
      </c>
      <c r="B586" s="401"/>
      <c r="C586" s="407" t="s">
        <v>644</v>
      </c>
      <c r="D586" s="623" t="s">
        <v>154</v>
      </c>
      <c r="E586" s="623"/>
      <c r="F586" s="409"/>
      <c r="G586" s="401"/>
      <c r="H586" s="410"/>
      <c r="I586" s="410">
        <f>ROUND(H585/1000,4)+I584</f>
        <v>112.16999999999996</v>
      </c>
      <c r="J586" s="405" t="s">
        <v>50</v>
      </c>
      <c r="K586" s="401" t="s">
        <v>255</v>
      </c>
      <c r="L586" s="401" t="s">
        <v>255</v>
      </c>
      <c r="M586" s="401" t="s">
        <v>255</v>
      </c>
      <c r="N586" s="401"/>
      <c r="O586" s="401"/>
      <c r="P586" s="401"/>
    </row>
    <row r="587" spans="1:16" s="136" customFormat="1" ht="18.75" hidden="1" customHeight="1">
      <c r="A587" s="401"/>
      <c r="B587" s="401"/>
      <c r="C587" s="622"/>
      <c r="D587" s="454"/>
      <c r="E587" s="454"/>
      <c r="F587" s="404"/>
      <c r="G587" s="756" t="str">
        <f>C586</f>
        <v>43/1</v>
      </c>
      <c r="H587" s="410">
        <v>375</v>
      </c>
      <c r="I587" s="410"/>
      <c r="J587" s="407"/>
      <c r="K587" s="401"/>
      <c r="L587" s="401"/>
      <c r="M587" s="401"/>
      <c r="N587" s="401"/>
      <c r="O587" s="401"/>
      <c r="P587" s="401"/>
    </row>
    <row r="588" spans="1:16" s="136" customFormat="1" ht="18.75" customHeight="1">
      <c r="A588" s="401">
        <f>SUBTOTAL(103,$C$6:C588)</f>
        <v>292</v>
      </c>
      <c r="B588" s="401"/>
      <c r="C588" s="407" t="s">
        <v>645</v>
      </c>
      <c r="D588" s="623" t="s">
        <v>79</v>
      </c>
      <c r="E588" s="623"/>
      <c r="F588" s="409"/>
      <c r="G588" s="401"/>
      <c r="H588" s="410"/>
      <c r="I588" s="410">
        <f>ROUND(H587/1000,4)+I586</f>
        <v>112.54499999999996</v>
      </c>
      <c r="J588" s="405" t="s">
        <v>50</v>
      </c>
      <c r="K588" s="401" t="s">
        <v>255</v>
      </c>
      <c r="L588" s="401" t="s">
        <v>255</v>
      </c>
      <c r="M588" s="401" t="s">
        <v>255</v>
      </c>
      <c r="N588" s="401"/>
      <c r="O588" s="401" t="s">
        <v>964</v>
      </c>
      <c r="P588" s="401"/>
    </row>
    <row r="589" spans="1:16" s="136" customFormat="1" ht="18.75" hidden="1" customHeight="1">
      <c r="A589" s="401"/>
      <c r="B589" s="401"/>
      <c r="C589" s="622"/>
      <c r="D589" s="454"/>
      <c r="E589" s="454"/>
      <c r="F589" s="404"/>
      <c r="G589" s="756" t="str">
        <f>C588</f>
        <v>43/2</v>
      </c>
      <c r="H589" s="410">
        <v>375</v>
      </c>
      <c r="I589" s="410"/>
      <c r="J589" s="407"/>
      <c r="K589" s="401"/>
      <c r="L589" s="401"/>
      <c r="M589" s="401"/>
      <c r="N589" s="401"/>
      <c r="O589" s="401"/>
      <c r="P589" s="401"/>
    </row>
    <row r="590" spans="1:16" s="653" customFormat="1" ht="18.75" customHeight="1">
      <c r="A590" s="401">
        <f>SUBTOTAL(103,$C$6:C590)</f>
        <v>293</v>
      </c>
      <c r="B590" s="407"/>
      <c r="C590" s="407" t="s">
        <v>646</v>
      </c>
      <c r="D590" s="623" t="s">
        <v>154</v>
      </c>
      <c r="E590" s="623"/>
      <c r="F590" s="623"/>
      <c r="G590" s="413"/>
      <c r="H590" s="457"/>
      <c r="I590" s="457">
        <f>ROUND(H589/1000,4)+I588</f>
        <v>112.91999999999996</v>
      </c>
      <c r="J590" s="405" t="s">
        <v>50</v>
      </c>
      <c r="K590" s="407" t="s">
        <v>255</v>
      </c>
      <c r="L590" s="401" t="s">
        <v>255</v>
      </c>
      <c r="M590" s="407" t="s">
        <v>255</v>
      </c>
      <c r="N590" s="401"/>
      <c r="O590" s="407"/>
      <c r="P590" s="407"/>
    </row>
    <row r="591" spans="1:16" s="136" customFormat="1" ht="18.75" hidden="1" customHeight="1">
      <c r="A591" s="401"/>
      <c r="B591" s="401"/>
      <c r="C591" s="622"/>
      <c r="D591" s="454"/>
      <c r="E591" s="454"/>
      <c r="F591" s="404"/>
      <c r="G591" s="756" t="str">
        <f>C590</f>
        <v>43/3</v>
      </c>
      <c r="H591" s="410">
        <v>355</v>
      </c>
      <c r="I591" s="410"/>
      <c r="J591" s="407"/>
      <c r="K591" s="401"/>
      <c r="L591" s="401"/>
      <c r="M591" s="401"/>
      <c r="N591" s="401"/>
      <c r="O591" s="401"/>
      <c r="P591" s="401"/>
    </row>
    <row r="592" spans="1:16" s="136" customFormat="1" ht="18.75" customHeight="1">
      <c r="A592" s="401">
        <f>SUBTOTAL(103,$C$6:C592)</f>
        <v>294</v>
      </c>
      <c r="B592" s="401"/>
      <c r="C592" s="407" t="s">
        <v>647</v>
      </c>
      <c r="D592" s="623" t="s">
        <v>3</v>
      </c>
      <c r="E592" s="623"/>
      <c r="F592" s="409"/>
      <c r="G592" s="401"/>
      <c r="H592" s="410"/>
      <c r="I592" s="410">
        <f>ROUND(H591/1000,4)+I590</f>
        <v>113.27499999999996</v>
      </c>
      <c r="J592" s="405" t="s">
        <v>50</v>
      </c>
      <c r="K592" s="401" t="s">
        <v>255</v>
      </c>
      <c r="L592" s="401" t="s">
        <v>255</v>
      </c>
      <c r="M592" s="401" t="s">
        <v>255</v>
      </c>
      <c r="N592" s="401"/>
      <c r="O592" s="401"/>
      <c r="P592" s="401"/>
    </row>
    <row r="593" spans="1:16" s="136" customFormat="1" ht="18.75" hidden="1" customHeight="1">
      <c r="A593" s="401"/>
      <c r="B593" s="401"/>
      <c r="C593" s="622"/>
      <c r="D593" s="454"/>
      <c r="E593" s="454"/>
      <c r="F593" s="404"/>
      <c r="G593" s="756" t="str">
        <f>C592</f>
        <v>43/4</v>
      </c>
      <c r="H593" s="410">
        <v>405</v>
      </c>
      <c r="I593" s="410"/>
      <c r="J593" s="407"/>
      <c r="K593" s="401"/>
      <c r="L593" s="401"/>
      <c r="M593" s="401"/>
      <c r="N593" s="401"/>
      <c r="O593" s="401"/>
      <c r="P593" s="401"/>
    </row>
    <row r="594" spans="1:16" s="136" customFormat="1" ht="18.75" customHeight="1">
      <c r="A594" s="401">
        <f>SUBTOTAL(103,$C$6:C594)</f>
        <v>295</v>
      </c>
      <c r="B594" s="401"/>
      <c r="C594" s="407" t="s">
        <v>1791</v>
      </c>
      <c r="D594" s="623" t="s">
        <v>173</v>
      </c>
      <c r="E594" s="623"/>
      <c r="F594" s="409"/>
      <c r="G594" s="401"/>
      <c r="H594" s="410"/>
      <c r="I594" s="410">
        <f>ROUND(H593/1000,4)+I592</f>
        <v>113.67999999999996</v>
      </c>
      <c r="J594" s="405" t="s">
        <v>50</v>
      </c>
      <c r="K594" s="401" t="s">
        <v>255</v>
      </c>
      <c r="L594" s="401" t="s">
        <v>255</v>
      </c>
      <c r="M594" s="401" t="s">
        <v>255</v>
      </c>
      <c r="N594" s="401"/>
      <c r="O594" s="401"/>
      <c r="P594" s="401" t="s">
        <v>1145</v>
      </c>
    </row>
    <row r="595" spans="1:16" s="136" customFormat="1" ht="18.75" hidden="1" customHeight="1">
      <c r="A595" s="401"/>
      <c r="B595" s="401"/>
      <c r="C595" s="622"/>
      <c r="D595" s="454"/>
      <c r="E595" s="454"/>
      <c r="F595" s="404"/>
      <c r="G595" s="756" t="str">
        <f>C594</f>
        <v>43A/0</v>
      </c>
      <c r="H595" s="410">
        <v>375</v>
      </c>
      <c r="I595" s="410"/>
      <c r="J595" s="407"/>
      <c r="K595" s="401"/>
      <c r="L595" s="401"/>
      <c r="M595" s="401"/>
      <c r="N595" s="401"/>
      <c r="O595" s="401"/>
      <c r="P595" s="401"/>
    </row>
    <row r="596" spans="1:16" s="136" customFormat="1" ht="18.75" customHeight="1">
      <c r="A596" s="401">
        <f>SUBTOTAL(103,$C$6:C596)</f>
        <v>296</v>
      </c>
      <c r="B596" s="401"/>
      <c r="C596" s="407" t="s">
        <v>649</v>
      </c>
      <c r="D596" s="623" t="s">
        <v>2</v>
      </c>
      <c r="E596" s="623"/>
      <c r="F596" s="409"/>
      <c r="G596" s="401"/>
      <c r="H596" s="410"/>
      <c r="I596" s="410">
        <f>ROUND(H595/1000,4)+I594</f>
        <v>114.05499999999996</v>
      </c>
      <c r="J596" s="405" t="s">
        <v>50</v>
      </c>
      <c r="K596" s="401" t="s">
        <v>255</v>
      </c>
      <c r="L596" s="401" t="s">
        <v>255</v>
      </c>
      <c r="M596" s="401" t="s">
        <v>255</v>
      </c>
      <c r="N596" s="401"/>
      <c r="O596" s="401"/>
      <c r="P596" s="401"/>
    </row>
    <row r="597" spans="1:16" s="136" customFormat="1" ht="18.75" hidden="1" customHeight="1">
      <c r="A597" s="401"/>
      <c r="B597" s="401"/>
      <c r="C597" s="622"/>
      <c r="D597" s="454"/>
      <c r="E597" s="454"/>
      <c r="F597" s="404"/>
      <c r="G597" s="756" t="str">
        <f>C596</f>
        <v>43/6</v>
      </c>
      <c r="H597" s="410">
        <v>385</v>
      </c>
      <c r="I597" s="410"/>
      <c r="J597" s="407"/>
      <c r="K597" s="401"/>
      <c r="L597" s="401"/>
      <c r="M597" s="401"/>
      <c r="N597" s="401"/>
      <c r="O597" s="401"/>
      <c r="P597" s="401"/>
    </row>
    <row r="598" spans="1:16" s="136" customFormat="1" ht="18.75" customHeight="1">
      <c r="A598" s="401">
        <f>SUBTOTAL(103,$C$6:C598)</f>
        <v>297</v>
      </c>
      <c r="B598" s="401"/>
      <c r="C598" s="407" t="s">
        <v>650</v>
      </c>
      <c r="D598" s="623" t="s">
        <v>3</v>
      </c>
      <c r="E598" s="623"/>
      <c r="F598" s="409"/>
      <c r="G598" s="401"/>
      <c r="H598" s="410"/>
      <c r="I598" s="410">
        <f>ROUND(H597/1000,4)+I596</f>
        <v>114.43999999999997</v>
      </c>
      <c r="J598" s="405" t="s">
        <v>50</v>
      </c>
      <c r="K598" s="401" t="s">
        <v>255</v>
      </c>
      <c r="L598" s="401" t="s">
        <v>255</v>
      </c>
      <c r="M598" s="401" t="s">
        <v>255</v>
      </c>
      <c r="N598" s="401"/>
      <c r="O598" s="401"/>
      <c r="P598" s="401"/>
    </row>
    <row r="599" spans="1:16" s="136" customFormat="1" ht="18.75" hidden="1" customHeight="1">
      <c r="A599" s="401"/>
      <c r="B599" s="401"/>
      <c r="C599" s="622"/>
      <c r="D599" s="454"/>
      <c r="E599" s="454"/>
      <c r="F599" s="404"/>
      <c r="G599" s="756" t="str">
        <f>C598</f>
        <v>43/7</v>
      </c>
      <c r="H599" s="410">
        <v>415</v>
      </c>
      <c r="I599" s="410"/>
      <c r="J599" s="407"/>
      <c r="K599" s="401"/>
      <c r="L599" s="401"/>
      <c r="M599" s="401"/>
      <c r="N599" s="401"/>
      <c r="O599" s="401"/>
      <c r="P599" s="401"/>
    </row>
    <row r="600" spans="1:16" s="136" customFormat="1" ht="18.75" customHeight="1">
      <c r="A600" s="401">
        <f>SUBTOTAL(103,$C$6:C600)</f>
        <v>298</v>
      </c>
      <c r="B600" s="401"/>
      <c r="C600" s="407" t="s">
        <v>651</v>
      </c>
      <c r="D600" s="623" t="s">
        <v>49</v>
      </c>
      <c r="E600" s="623"/>
      <c r="F600" s="409"/>
      <c r="G600" s="401"/>
      <c r="H600" s="410"/>
      <c r="I600" s="410">
        <f>ROUND(H599/1000,4)+I598</f>
        <v>114.85499999999998</v>
      </c>
      <c r="J600" s="405" t="s">
        <v>50</v>
      </c>
      <c r="K600" s="401" t="s">
        <v>255</v>
      </c>
      <c r="L600" s="401" t="s">
        <v>255</v>
      </c>
      <c r="M600" s="401" t="s">
        <v>255</v>
      </c>
      <c r="N600" s="401"/>
      <c r="O600" s="401"/>
      <c r="P600" s="401"/>
    </row>
    <row r="601" spans="1:16" s="136" customFormat="1" ht="18.75" hidden="1" customHeight="1">
      <c r="A601" s="401"/>
      <c r="B601" s="401"/>
      <c r="C601" s="622"/>
      <c r="D601" s="454"/>
      <c r="E601" s="454"/>
      <c r="F601" s="404"/>
      <c r="G601" s="756" t="str">
        <f>C600</f>
        <v>43/8</v>
      </c>
      <c r="H601" s="410">
        <v>409.54599999999999</v>
      </c>
      <c r="I601" s="410"/>
      <c r="J601" s="407"/>
      <c r="K601" s="401"/>
      <c r="L601" s="401"/>
      <c r="M601" s="401"/>
      <c r="N601" s="401"/>
      <c r="O601" s="401"/>
      <c r="P601" s="401"/>
    </row>
    <row r="602" spans="1:16" s="136" customFormat="1" ht="18.75" customHeight="1">
      <c r="A602" s="401">
        <f>SUBTOTAL(103,$C$6:C602)</f>
        <v>299</v>
      </c>
      <c r="B602" s="402" t="s">
        <v>652</v>
      </c>
      <c r="C602" s="407" t="s">
        <v>7</v>
      </c>
      <c r="D602" s="623" t="s">
        <v>227</v>
      </c>
      <c r="E602" s="623"/>
      <c r="F602" s="404"/>
      <c r="G602" s="403"/>
      <c r="H602" s="410"/>
      <c r="I602" s="410">
        <f>ROUND(H601/1000,4)+I600</f>
        <v>115.26449999999997</v>
      </c>
      <c r="J602" s="405" t="s">
        <v>50</v>
      </c>
      <c r="K602" s="401" t="s">
        <v>255</v>
      </c>
      <c r="L602" s="401" t="s">
        <v>255</v>
      </c>
      <c r="M602" s="401" t="s">
        <v>255</v>
      </c>
      <c r="N602" s="401"/>
      <c r="O602" s="401"/>
      <c r="P602" s="401"/>
    </row>
    <row r="603" spans="1:16" s="136" customFormat="1" ht="18.75" hidden="1" customHeight="1">
      <c r="A603" s="401"/>
      <c r="B603" s="401"/>
      <c r="C603" s="622"/>
      <c r="D603" s="454"/>
      <c r="E603" s="454"/>
      <c r="F603" s="404"/>
      <c r="G603" s="756" t="str">
        <f>C602</f>
        <v>44/0</v>
      </c>
      <c r="H603" s="410">
        <v>400</v>
      </c>
      <c r="I603" s="410"/>
      <c r="J603" s="401"/>
      <c r="K603" s="401"/>
      <c r="L603" s="401"/>
      <c r="M603" s="401"/>
      <c r="N603" s="401"/>
      <c r="O603" s="401"/>
      <c r="P603" s="401"/>
    </row>
    <row r="604" spans="1:16" s="135" customFormat="1" ht="18.75" customHeight="1">
      <c r="A604" s="407">
        <f>SUBTOTAL(103,$C$6:C604)</f>
        <v>300</v>
      </c>
      <c r="B604" s="407"/>
      <c r="C604" s="407" t="s">
        <v>1240</v>
      </c>
      <c r="D604" s="623" t="s">
        <v>2</v>
      </c>
      <c r="E604" s="623"/>
      <c r="F604" s="623"/>
      <c r="G604" s="407"/>
      <c r="H604" s="410"/>
      <c r="I604" s="1198">
        <f>ROUND(H603/1000,4)+I602</f>
        <v>115.66449999999998</v>
      </c>
      <c r="J604" s="407" t="s">
        <v>50</v>
      </c>
      <c r="K604" s="407" t="s">
        <v>255</v>
      </c>
      <c r="L604" s="407" t="s">
        <v>255</v>
      </c>
      <c r="M604" s="407" t="s">
        <v>255</v>
      </c>
      <c r="N604" s="407"/>
      <c r="O604" s="407"/>
      <c r="P604" s="407"/>
    </row>
    <row r="605" spans="1:16" s="653" customFormat="1" ht="18.75" hidden="1" customHeight="1">
      <c r="A605" s="407"/>
      <c r="B605" s="407"/>
      <c r="C605" s="622"/>
      <c r="D605" s="454"/>
      <c r="E605" s="454"/>
      <c r="F605" s="454"/>
      <c r="G605" s="921" t="str">
        <f>C604</f>
        <v>44/1</v>
      </c>
      <c r="H605" s="410">
        <v>427</v>
      </c>
      <c r="I605" s="457"/>
      <c r="J605" s="407"/>
      <c r="K605" s="407"/>
      <c r="L605" s="407"/>
      <c r="M605" s="407"/>
      <c r="N605" s="407"/>
      <c r="O605" s="407"/>
      <c r="P605" s="407"/>
    </row>
    <row r="606" spans="1:16" s="135" customFormat="1" ht="18.75" customHeight="1">
      <c r="A606" s="407">
        <f>SUBTOTAL(103,$C$6:C606)</f>
        <v>301</v>
      </c>
      <c r="B606" s="407"/>
      <c r="C606" s="407" t="s">
        <v>1242</v>
      </c>
      <c r="D606" s="623" t="s">
        <v>2</v>
      </c>
      <c r="E606" s="623"/>
      <c r="F606" s="623"/>
      <c r="G606" s="407"/>
      <c r="H606" s="410"/>
      <c r="I606" s="1198">
        <f>ROUND(H605/1000,4)+I604</f>
        <v>116.09149999999998</v>
      </c>
      <c r="J606" s="407" t="s">
        <v>50</v>
      </c>
      <c r="K606" s="407" t="s">
        <v>255</v>
      </c>
      <c r="L606" s="407" t="s">
        <v>255</v>
      </c>
      <c r="M606" s="407" t="s">
        <v>255</v>
      </c>
      <c r="N606" s="407"/>
      <c r="O606" s="407"/>
      <c r="P606" s="407"/>
    </row>
    <row r="607" spans="1:16" s="653" customFormat="1" ht="18.75" hidden="1" customHeight="1">
      <c r="A607" s="407"/>
      <c r="B607" s="407"/>
      <c r="C607" s="622"/>
      <c r="D607" s="454"/>
      <c r="E607" s="454"/>
      <c r="F607" s="454"/>
      <c r="G607" s="921" t="str">
        <f>C606</f>
        <v>44/2</v>
      </c>
      <c r="H607" s="410">
        <v>366</v>
      </c>
      <c r="I607" s="1199"/>
      <c r="J607" s="407"/>
      <c r="K607" s="407"/>
      <c r="L607" s="407"/>
      <c r="M607" s="407"/>
      <c r="N607" s="407"/>
      <c r="O607" s="407"/>
      <c r="P607" s="407"/>
    </row>
    <row r="608" spans="1:16" s="135" customFormat="1" ht="18.75" customHeight="1">
      <c r="A608" s="407">
        <f>SUBTOTAL(103,$C$6:C608)</f>
        <v>302</v>
      </c>
      <c r="B608" s="407"/>
      <c r="C608" s="407" t="s">
        <v>1243</v>
      </c>
      <c r="D608" s="623" t="s">
        <v>2</v>
      </c>
      <c r="E608" s="623"/>
      <c r="F608" s="623"/>
      <c r="G608" s="407"/>
      <c r="H608" s="410"/>
      <c r="I608" s="1198">
        <f>ROUND(H607/1000,4)+I606</f>
        <v>116.45749999999998</v>
      </c>
      <c r="J608" s="407" t="s">
        <v>50</v>
      </c>
      <c r="K608" s="407" t="s">
        <v>255</v>
      </c>
      <c r="L608" s="407" t="s">
        <v>255</v>
      </c>
      <c r="M608" s="407" t="s">
        <v>255</v>
      </c>
      <c r="N608" s="407"/>
      <c r="O608" s="407"/>
      <c r="P608" s="407"/>
    </row>
    <row r="609" spans="1:16" s="653" customFormat="1" ht="18.75" hidden="1" customHeight="1">
      <c r="A609" s="407"/>
      <c r="B609" s="407"/>
      <c r="C609" s="622"/>
      <c r="D609" s="454"/>
      <c r="E609" s="454"/>
      <c r="F609" s="454"/>
      <c r="G609" s="921" t="str">
        <f>C608</f>
        <v>44/3</v>
      </c>
      <c r="H609" s="410">
        <v>350</v>
      </c>
      <c r="I609" s="1199"/>
      <c r="J609" s="407"/>
      <c r="K609" s="407"/>
      <c r="L609" s="407"/>
      <c r="M609" s="407"/>
      <c r="N609" s="407"/>
      <c r="O609" s="407"/>
      <c r="P609" s="407"/>
    </row>
    <row r="610" spans="1:16" s="135" customFormat="1" ht="18.75" customHeight="1">
      <c r="A610" s="407">
        <f>SUBTOTAL(103,$C$6:C610)</f>
        <v>303</v>
      </c>
      <c r="B610" s="407"/>
      <c r="C610" s="407" t="s">
        <v>1244</v>
      </c>
      <c r="D610" s="623" t="s">
        <v>3</v>
      </c>
      <c r="E610" s="623"/>
      <c r="F610" s="623"/>
      <c r="G610" s="407"/>
      <c r="H610" s="410"/>
      <c r="I610" s="1198">
        <f>ROUND(H609/1000,4)+I608</f>
        <v>116.80749999999998</v>
      </c>
      <c r="J610" s="407" t="s">
        <v>50</v>
      </c>
      <c r="K610" s="407" t="s">
        <v>255</v>
      </c>
      <c r="L610" s="407" t="s">
        <v>255</v>
      </c>
      <c r="M610" s="407" t="s">
        <v>255</v>
      </c>
      <c r="N610" s="407"/>
      <c r="O610" s="407"/>
      <c r="P610" s="407"/>
    </row>
    <row r="611" spans="1:16" s="653" customFormat="1" ht="18.75" hidden="1" customHeight="1">
      <c r="A611" s="407"/>
      <c r="B611" s="407"/>
      <c r="C611" s="622"/>
      <c r="D611" s="454"/>
      <c r="E611" s="454"/>
      <c r="F611" s="454"/>
      <c r="G611" s="921" t="str">
        <f>C610</f>
        <v>44/4</v>
      </c>
      <c r="H611" s="410">
        <v>383</v>
      </c>
      <c r="I611" s="1199"/>
      <c r="J611" s="407"/>
      <c r="K611" s="407"/>
      <c r="L611" s="407"/>
      <c r="M611" s="407"/>
      <c r="N611" s="407"/>
      <c r="O611" s="407"/>
      <c r="P611" s="407"/>
    </row>
    <row r="612" spans="1:16" s="135" customFormat="1" ht="18.75" customHeight="1">
      <c r="A612" s="407">
        <f>SUBTOTAL(103,$C$6:C612)</f>
        <v>304</v>
      </c>
      <c r="B612" s="407"/>
      <c r="C612" s="407" t="s">
        <v>1245</v>
      </c>
      <c r="D612" s="623" t="s">
        <v>3</v>
      </c>
      <c r="E612" s="623"/>
      <c r="F612" s="623"/>
      <c r="G612" s="407"/>
      <c r="H612" s="410"/>
      <c r="I612" s="1198">
        <f>ROUND(H611/1000,4)+I610</f>
        <v>117.19049999999997</v>
      </c>
      <c r="J612" s="407" t="s">
        <v>50</v>
      </c>
      <c r="K612" s="407" t="s">
        <v>255</v>
      </c>
      <c r="L612" s="407" t="s">
        <v>255</v>
      </c>
      <c r="M612" s="407" t="s">
        <v>255</v>
      </c>
      <c r="N612" s="407"/>
      <c r="O612" s="407"/>
      <c r="P612" s="407"/>
    </row>
    <row r="613" spans="1:16" s="135" customFormat="1" ht="18.75" hidden="1" customHeight="1">
      <c r="A613" s="407"/>
      <c r="B613" s="407"/>
      <c r="C613" s="407"/>
      <c r="D613" s="623"/>
      <c r="E613" s="623"/>
      <c r="F613" s="623"/>
      <c r="G613" s="407" t="str">
        <f>C612</f>
        <v>44/5</v>
      </c>
      <c r="H613" s="410">
        <v>457.15499999999997</v>
      </c>
      <c r="I613" s="1199"/>
      <c r="J613" s="407"/>
      <c r="K613" s="407"/>
      <c r="L613" s="407"/>
      <c r="M613" s="407"/>
      <c r="N613" s="407"/>
      <c r="O613" s="407"/>
      <c r="P613" s="407"/>
    </row>
    <row r="614" spans="1:16" s="135" customFormat="1" ht="18.75" customHeight="1">
      <c r="A614" s="407">
        <f>SUBTOTAL(103,$C$6:C614)</f>
        <v>305</v>
      </c>
      <c r="B614" s="407" t="s">
        <v>1270</v>
      </c>
      <c r="C614" s="407" t="s">
        <v>1246</v>
      </c>
      <c r="D614" s="623" t="s">
        <v>211</v>
      </c>
      <c r="E614" s="623"/>
      <c r="F614" s="623"/>
      <c r="G614" s="407"/>
      <c r="H614" s="410"/>
      <c r="I614" s="1198">
        <f>ROUND(H613/1000,4)+I612</f>
        <v>117.64769999999997</v>
      </c>
      <c r="J614" s="407" t="s">
        <v>50</v>
      </c>
      <c r="K614" s="407" t="s">
        <v>255</v>
      </c>
      <c r="L614" s="407" t="s">
        <v>255</v>
      </c>
      <c r="M614" s="407" t="s">
        <v>255</v>
      </c>
      <c r="N614" s="407"/>
      <c r="O614" s="407"/>
      <c r="P614" s="407" t="s">
        <v>1248</v>
      </c>
    </row>
    <row r="615" spans="1:16" s="135" customFormat="1" ht="18.75" hidden="1" customHeight="1">
      <c r="A615" s="407"/>
      <c r="B615" s="407"/>
      <c r="C615" s="407"/>
      <c r="D615" s="623"/>
      <c r="E615" s="623"/>
      <c r="F615" s="623"/>
      <c r="G615" s="407" t="str">
        <f>C614</f>
        <v>45/0</v>
      </c>
      <c r="H615" s="410">
        <v>208.53</v>
      </c>
      <c r="I615" s="1200"/>
      <c r="J615" s="407"/>
      <c r="K615" s="407"/>
      <c r="L615" s="407"/>
      <c r="M615" s="407"/>
      <c r="N615" s="407"/>
      <c r="O615" s="407"/>
      <c r="P615" s="407"/>
    </row>
    <row r="616" spans="1:16" s="135" customFormat="1" ht="18.75" customHeight="1">
      <c r="A616" s="407">
        <f>SUBTOTAL(103,$C$6:C616)</f>
        <v>306</v>
      </c>
      <c r="B616" s="407" t="s">
        <v>1271</v>
      </c>
      <c r="C616" s="407" t="s">
        <v>1247</v>
      </c>
      <c r="D616" s="623" t="s">
        <v>403</v>
      </c>
      <c r="E616" s="623"/>
      <c r="F616" s="623"/>
      <c r="G616" s="407"/>
      <c r="H616" s="623"/>
      <c r="I616" s="1198">
        <f>ROUND(H615/1000,4)+I614</f>
        <v>117.85619999999997</v>
      </c>
      <c r="J616" s="407" t="s">
        <v>50</v>
      </c>
      <c r="K616" s="407" t="s">
        <v>255</v>
      </c>
      <c r="L616" s="407" t="s">
        <v>255</v>
      </c>
      <c r="M616" s="407" t="s">
        <v>255</v>
      </c>
      <c r="N616" s="407"/>
      <c r="O616" s="407"/>
      <c r="P616" s="407" t="s">
        <v>1248</v>
      </c>
    </row>
    <row r="617" spans="1:16" s="135" customFormat="1" ht="18.75" customHeight="1">
      <c r="A617" s="407"/>
      <c r="B617" s="407"/>
      <c r="C617" s="623"/>
      <c r="D617" s="623"/>
      <c r="E617" s="623"/>
      <c r="F617" s="623"/>
      <c r="G617" s="407"/>
      <c r="H617" s="623"/>
      <c r="I617" s="623"/>
      <c r="J617" s="407"/>
      <c r="K617" s="407"/>
      <c r="L617" s="407"/>
      <c r="M617" s="407"/>
      <c r="N617" s="407"/>
      <c r="O617" s="407"/>
      <c r="P617" s="407"/>
    </row>
    <row r="618" spans="1:16">
      <c r="C618" s="1046"/>
    </row>
    <row r="619" spans="1:16">
      <c r="C619" s="1046"/>
    </row>
    <row r="620" spans="1:16">
      <c r="C620" s="1046"/>
    </row>
    <row r="621" spans="1:16">
      <c r="C621" s="1046"/>
    </row>
    <row r="622" spans="1:16">
      <c r="C622" s="1045"/>
    </row>
    <row r="623" spans="1:16">
      <c r="C623" s="1045"/>
    </row>
    <row r="624" spans="1:16">
      <c r="C624" s="1045"/>
    </row>
    <row r="625" spans="3:3">
      <c r="C625" s="1045"/>
    </row>
    <row r="626" spans="3:3">
      <c r="C626" s="1045"/>
    </row>
    <row r="627" spans="3:3">
      <c r="C627" s="1045"/>
    </row>
    <row r="628" spans="3:3">
      <c r="C628" s="1045"/>
    </row>
    <row r="629" spans="3:3">
      <c r="C629" s="1045"/>
    </row>
    <row r="630" spans="3:3">
      <c r="C630" s="1045"/>
    </row>
    <row r="631" spans="3:3">
      <c r="C631" s="1045"/>
    </row>
    <row r="632" spans="3:3">
      <c r="C632" s="1045"/>
    </row>
    <row r="633" spans="3:3">
      <c r="C633" s="1045"/>
    </row>
    <row r="634" spans="3:3">
      <c r="C634" s="1045"/>
    </row>
    <row r="635" spans="3:3">
      <c r="C635" s="1045"/>
    </row>
    <row r="636" spans="3:3">
      <c r="C636" s="1045"/>
    </row>
    <row r="637" spans="3:3">
      <c r="C637" s="1045"/>
    </row>
    <row r="638" spans="3:3">
      <c r="C638" s="1045"/>
    </row>
    <row r="639" spans="3:3">
      <c r="C639" s="1045"/>
    </row>
    <row r="640" spans="3:3">
      <c r="C640" s="1045"/>
    </row>
    <row r="641" spans="3:3">
      <c r="C641" s="1045"/>
    </row>
    <row r="642" spans="3:3">
      <c r="C642" s="1045"/>
    </row>
    <row r="643" spans="3:3">
      <c r="C643" s="1045"/>
    </row>
    <row r="644" spans="3:3">
      <c r="C644" s="1045"/>
    </row>
    <row r="645" spans="3:3">
      <c r="C645" s="1045"/>
    </row>
    <row r="646" spans="3:3">
      <c r="C646" s="1045"/>
    </row>
    <row r="647" spans="3:3">
      <c r="C647" s="1045"/>
    </row>
    <row r="648" spans="3:3">
      <c r="C648" s="1045"/>
    </row>
    <row r="649" spans="3:3">
      <c r="C649" s="1045"/>
    </row>
    <row r="650" spans="3:3">
      <c r="C650" s="1045"/>
    </row>
    <row r="651" spans="3:3">
      <c r="C651" s="1045"/>
    </row>
    <row r="652" spans="3:3">
      <c r="C652" s="1045"/>
    </row>
    <row r="653" spans="3:3">
      <c r="C653" s="1045"/>
    </row>
    <row r="654" spans="3:3">
      <c r="C654" s="1045"/>
    </row>
    <row r="655" spans="3:3">
      <c r="C655" s="1045"/>
    </row>
    <row r="656" spans="3:3">
      <c r="C656" s="1045"/>
    </row>
    <row r="657" spans="3:3">
      <c r="C657" s="1045"/>
    </row>
    <row r="658" spans="3:3">
      <c r="C658" s="1045"/>
    </row>
    <row r="659" spans="3:3">
      <c r="C659" s="1045"/>
    </row>
    <row r="660" spans="3:3">
      <c r="C660" s="1045"/>
    </row>
    <row r="661" spans="3:3">
      <c r="C661" s="1045"/>
    </row>
    <row r="662" spans="3:3">
      <c r="C662" s="1045"/>
    </row>
    <row r="663" spans="3:3">
      <c r="C663" s="1045"/>
    </row>
    <row r="664" spans="3:3">
      <c r="C664" s="1045"/>
    </row>
    <row r="665" spans="3:3">
      <c r="C665" s="1045"/>
    </row>
    <row r="666" spans="3:3">
      <c r="C666" s="1045"/>
    </row>
    <row r="667" spans="3:3">
      <c r="C667" s="1045"/>
    </row>
    <row r="668" spans="3:3">
      <c r="C668" s="1045"/>
    </row>
    <row r="669" spans="3:3">
      <c r="C669" s="1045"/>
    </row>
    <row r="670" spans="3:3">
      <c r="C670" s="1045"/>
    </row>
    <row r="671" spans="3:3">
      <c r="C671" s="1045"/>
    </row>
    <row r="672" spans="3:3">
      <c r="C672" s="1045"/>
    </row>
    <row r="673" spans="3:3">
      <c r="C673" s="1045"/>
    </row>
    <row r="674" spans="3:3">
      <c r="C674" s="1045"/>
    </row>
    <row r="675" spans="3:3">
      <c r="C675" s="1045"/>
    </row>
    <row r="676" spans="3:3">
      <c r="C676" s="1045"/>
    </row>
    <row r="677" spans="3:3">
      <c r="C677" s="1045"/>
    </row>
    <row r="678" spans="3:3">
      <c r="C678" s="1045"/>
    </row>
    <row r="679" spans="3:3">
      <c r="C679" s="1045"/>
    </row>
    <row r="680" spans="3:3">
      <c r="C680" s="1045"/>
    </row>
    <row r="681" spans="3:3">
      <c r="C681" s="1045"/>
    </row>
    <row r="682" spans="3:3">
      <c r="C682" s="1045"/>
    </row>
    <row r="683" spans="3:3">
      <c r="C683" s="1045"/>
    </row>
    <row r="684" spans="3:3">
      <c r="C684" s="1045"/>
    </row>
    <row r="685" spans="3:3">
      <c r="C685" s="1045"/>
    </row>
    <row r="686" spans="3:3">
      <c r="C686" s="1045"/>
    </row>
    <row r="687" spans="3:3">
      <c r="C687" s="1045"/>
    </row>
    <row r="688" spans="3:3">
      <c r="C688" s="1045"/>
    </row>
    <row r="689" spans="3:3">
      <c r="C689" s="1045"/>
    </row>
    <row r="690" spans="3:3">
      <c r="C690" s="1045"/>
    </row>
    <row r="691" spans="3:3">
      <c r="C691" s="1045"/>
    </row>
    <row r="692" spans="3:3">
      <c r="C692" s="1045"/>
    </row>
    <row r="693" spans="3:3">
      <c r="C693" s="1045"/>
    </row>
    <row r="694" spans="3:3">
      <c r="C694" s="1045"/>
    </row>
    <row r="695" spans="3:3">
      <c r="C695" s="1045"/>
    </row>
    <row r="696" spans="3:3">
      <c r="C696" s="1045"/>
    </row>
    <row r="697" spans="3:3">
      <c r="C697" s="1045"/>
    </row>
    <row r="698" spans="3:3">
      <c r="C698" s="1045"/>
    </row>
    <row r="699" spans="3:3">
      <c r="C699" s="1045"/>
    </row>
    <row r="700" spans="3:3">
      <c r="C700" s="1045"/>
    </row>
    <row r="701" spans="3:3">
      <c r="C701" s="1045"/>
    </row>
    <row r="702" spans="3:3">
      <c r="C702" s="1045"/>
    </row>
    <row r="703" spans="3:3">
      <c r="C703" s="1045"/>
    </row>
    <row r="704" spans="3:3">
      <c r="C704" s="1045"/>
    </row>
    <row r="705" spans="3:3">
      <c r="C705" s="1045"/>
    </row>
    <row r="706" spans="3:3">
      <c r="C706" s="1045"/>
    </row>
    <row r="707" spans="3:3">
      <c r="C707" s="1045"/>
    </row>
    <row r="708" spans="3:3">
      <c r="C708" s="1045"/>
    </row>
    <row r="709" spans="3:3">
      <c r="C709" s="1045"/>
    </row>
    <row r="710" spans="3:3">
      <c r="C710" s="1045"/>
    </row>
    <row r="711" spans="3:3">
      <c r="C711" s="1045"/>
    </row>
    <row r="712" spans="3:3">
      <c r="C712" s="1045"/>
    </row>
    <row r="713" spans="3:3">
      <c r="C713" s="1045"/>
    </row>
    <row r="714" spans="3:3">
      <c r="C714" s="1045"/>
    </row>
    <row r="715" spans="3:3">
      <c r="C715" s="1045"/>
    </row>
    <row r="716" spans="3:3">
      <c r="C716" s="1045"/>
    </row>
    <row r="717" spans="3:3">
      <c r="C717" s="1045"/>
    </row>
    <row r="718" spans="3:3">
      <c r="C718" s="1045"/>
    </row>
    <row r="719" spans="3:3">
      <c r="C719" s="1045"/>
    </row>
    <row r="720" spans="3:3">
      <c r="C720" s="1045"/>
    </row>
    <row r="721" spans="3:3">
      <c r="C721" s="1045"/>
    </row>
    <row r="722" spans="3:3">
      <c r="C722" s="1045"/>
    </row>
    <row r="723" spans="3:3">
      <c r="C723" s="1045"/>
    </row>
    <row r="724" spans="3:3">
      <c r="C724" s="1045"/>
    </row>
    <row r="725" spans="3:3">
      <c r="C725" s="1045"/>
    </row>
    <row r="726" spans="3:3">
      <c r="C726" s="1045"/>
    </row>
    <row r="727" spans="3:3">
      <c r="C727" s="1045"/>
    </row>
    <row r="728" spans="3:3">
      <c r="C728" s="1045"/>
    </row>
    <row r="729" spans="3:3">
      <c r="C729" s="1045"/>
    </row>
    <row r="730" spans="3:3">
      <c r="C730" s="1045"/>
    </row>
    <row r="731" spans="3:3">
      <c r="C731" s="1045"/>
    </row>
    <row r="732" spans="3:3">
      <c r="C732" s="1045"/>
    </row>
    <row r="733" spans="3:3">
      <c r="C733" s="1045"/>
    </row>
    <row r="734" spans="3:3">
      <c r="C734" s="1045"/>
    </row>
    <row r="735" spans="3:3">
      <c r="C735" s="1045"/>
    </row>
    <row r="736" spans="3:3">
      <c r="C736" s="1045"/>
    </row>
    <row r="737" spans="3:3">
      <c r="C737" s="1045"/>
    </row>
    <row r="738" spans="3:3">
      <c r="C738" s="1045"/>
    </row>
    <row r="739" spans="3:3">
      <c r="C739" s="1045"/>
    </row>
    <row r="740" spans="3:3">
      <c r="C740" s="1045"/>
    </row>
    <row r="741" spans="3:3">
      <c r="C741" s="1045"/>
    </row>
    <row r="742" spans="3:3">
      <c r="C742" s="1045"/>
    </row>
    <row r="743" spans="3:3">
      <c r="C743" s="1045"/>
    </row>
    <row r="744" spans="3:3">
      <c r="C744" s="1045"/>
    </row>
    <row r="745" spans="3:3">
      <c r="C745" s="1045"/>
    </row>
    <row r="746" spans="3:3">
      <c r="C746" s="1045"/>
    </row>
    <row r="747" spans="3:3">
      <c r="C747" s="1045"/>
    </row>
    <row r="748" spans="3:3">
      <c r="C748" s="1045"/>
    </row>
    <row r="749" spans="3:3">
      <c r="C749" s="1045"/>
    </row>
    <row r="750" spans="3:3">
      <c r="C750" s="1045"/>
    </row>
    <row r="751" spans="3:3">
      <c r="C751" s="1045"/>
    </row>
    <row r="752" spans="3:3">
      <c r="C752" s="1045"/>
    </row>
    <row r="753" spans="3:3">
      <c r="C753" s="1045"/>
    </row>
    <row r="754" spans="3:3">
      <c r="C754" s="1045"/>
    </row>
    <row r="755" spans="3:3">
      <c r="C755" s="1045"/>
    </row>
    <row r="756" spans="3:3">
      <c r="C756" s="1045"/>
    </row>
    <row r="757" spans="3:3">
      <c r="C757" s="1045"/>
    </row>
    <row r="758" spans="3:3">
      <c r="C758" s="1045"/>
    </row>
    <row r="759" spans="3:3">
      <c r="C759" s="1045"/>
    </row>
    <row r="760" spans="3:3">
      <c r="C760" s="1045"/>
    </row>
    <row r="761" spans="3:3">
      <c r="C761" s="1045"/>
    </row>
    <row r="762" spans="3:3">
      <c r="C762" s="1045"/>
    </row>
    <row r="763" spans="3:3">
      <c r="C763" s="1045"/>
    </row>
    <row r="764" spans="3:3">
      <c r="C764" s="1045"/>
    </row>
    <row r="765" spans="3:3">
      <c r="C765" s="1045"/>
    </row>
    <row r="766" spans="3:3">
      <c r="C766" s="1045"/>
    </row>
    <row r="767" spans="3:3">
      <c r="C767" s="1045"/>
    </row>
    <row r="768" spans="3:3">
      <c r="C768" s="1045"/>
    </row>
    <row r="769" spans="3:3">
      <c r="C769" s="1045"/>
    </row>
    <row r="770" spans="3:3">
      <c r="C770" s="1045"/>
    </row>
    <row r="771" spans="3:3">
      <c r="C771" s="1045"/>
    </row>
    <row r="772" spans="3:3">
      <c r="C772" s="1045"/>
    </row>
    <row r="773" spans="3:3">
      <c r="C773" s="1045"/>
    </row>
    <row r="774" spans="3:3">
      <c r="C774" s="1045"/>
    </row>
    <row r="775" spans="3:3">
      <c r="C775" s="1045"/>
    </row>
    <row r="776" spans="3:3">
      <c r="C776" s="1045"/>
    </row>
    <row r="777" spans="3:3">
      <c r="C777" s="1045"/>
    </row>
    <row r="778" spans="3:3">
      <c r="C778" s="1045"/>
    </row>
    <row r="779" spans="3:3">
      <c r="C779" s="1045"/>
    </row>
    <row r="780" spans="3:3">
      <c r="C780" s="1045"/>
    </row>
    <row r="781" spans="3:3">
      <c r="C781" s="1045"/>
    </row>
    <row r="782" spans="3:3">
      <c r="C782" s="1045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1" customWidth="1"/>
    <col min="6" max="6" width="13.1796875" style="95" customWidth="1"/>
    <col min="7" max="7" width="4.7265625" style="161" customWidth="1"/>
    <col min="8" max="8" width="4.7265625" style="160" customWidth="1"/>
    <col min="9" max="9" width="4.7265625" style="159" customWidth="1"/>
    <col min="10" max="10" width="4.7265625" style="161" customWidth="1"/>
    <col min="11" max="11" width="4.7265625" style="160" customWidth="1"/>
    <col min="12" max="12" width="4.7265625" style="159" customWidth="1"/>
    <col min="13" max="13" width="4.7265625" style="161" customWidth="1"/>
    <col min="14" max="14" width="4.7265625" style="160" customWidth="1"/>
    <col min="15" max="15" width="4.7265625" style="159" customWidth="1"/>
    <col min="16" max="16" width="4.7265625" style="161" customWidth="1"/>
    <col min="17" max="17" width="4.7265625" style="160" customWidth="1"/>
    <col min="18" max="18" width="4.7265625" style="159" customWidth="1"/>
    <col min="19" max="19" width="4" style="70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0" customWidth="1"/>
    <col min="27" max="27" width="0" style="70" hidden="1" customWidth="1"/>
    <col min="28" max="28" width="6.1796875" style="70" hidden="1" customWidth="1"/>
    <col min="29" max="32" width="0" style="70" hidden="1" customWidth="1"/>
    <col min="33" max="16384" width="9.1796875" style="70"/>
  </cols>
  <sheetData>
    <row r="1" spans="1:37">
      <c r="A1" s="169" t="s">
        <v>684</v>
      </c>
      <c r="B1" s="176"/>
      <c r="C1" s="168"/>
      <c r="D1" s="168"/>
      <c r="E1" s="167"/>
      <c r="F1" s="179"/>
      <c r="G1" s="1745" t="s">
        <v>83</v>
      </c>
      <c r="H1" s="1746"/>
      <c r="I1" s="1747"/>
      <c r="J1" s="1745" t="s">
        <v>84</v>
      </c>
      <c r="K1" s="1746"/>
      <c r="L1" s="1747"/>
      <c r="M1" s="1745" t="s">
        <v>85</v>
      </c>
      <c r="N1" s="1746"/>
      <c r="O1" s="1747"/>
      <c r="P1" s="1745" t="s">
        <v>86</v>
      </c>
      <c r="Q1" s="1746"/>
      <c r="R1" s="1747"/>
    </row>
    <row r="2" spans="1:37" ht="15" thickBot="1">
      <c r="A2" s="166" t="s">
        <v>683</v>
      </c>
      <c r="B2" s="165" t="str">
        <f>TA413_PBNTL!M1</f>
        <v>26.06.2026</v>
      </c>
      <c r="D2" s="73"/>
      <c r="E2" s="162"/>
      <c r="F2" s="162" t="s">
        <v>682</v>
      </c>
      <c r="G2" s="164">
        <f t="shared" ref="G2:R2" si="0">SUBTOTAL(9,G4:G1484)</f>
        <v>309</v>
      </c>
      <c r="H2" s="152">
        <f t="shared" si="0"/>
        <v>310</v>
      </c>
      <c r="I2" s="163">
        <f t="shared" si="0"/>
        <v>313</v>
      </c>
      <c r="J2" s="164">
        <f t="shared" si="0"/>
        <v>316</v>
      </c>
      <c r="K2" s="152">
        <f t="shared" si="0"/>
        <v>309</v>
      </c>
      <c r="L2" s="163">
        <f t="shared" si="0"/>
        <v>312</v>
      </c>
      <c r="M2" s="164">
        <f t="shared" si="0"/>
        <v>313</v>
      </c>
      <c r="N2" s="152">
        <f t="shared" si="0"/>
        <v>309</v>
      </c>
      <c r="O2" s="163">
        <f t="shared" si="0"/>
        <v>313</v>
      </c>
      <c r="P2" s="164">
        <f t="shared" si="0"/>
        <v>311</v>
      </c>
      <c r="Q2" s="152">
        <f t="shared" si="0"/>
        <v>310</v>
      </c>
      <c r="R2" s="163">
        <f t="shared" si="0"/>
        <v>314</v>
      </c>
    </row>
    <row r="3" spans="1:37" s="2" customFormat="1" ht="29">
      <c r="A3" s="158" t="s">
        <v>376</v>
      </c>
      <c r="B3" s="158" t="s">
        <v>668</v>
      </c>
      <c r="C3" s="158" t="s">
        <v>43</v>
      </c>
      <c r="D3" s="73" t="s">
        <v>44</v>
      </c>
      <c r="E3" s="162" t="s">
        <v>45</v>
      </c>
      <c r="F3" s="170" t="s">
        <v>685</v>
      </c>
      <c r="G3" s="183" t="s">
        <v>124</v>
      </c>
      <c r="H3" s="184" t="s">
        <v>681</v>
      </c>
      <c r="I3" s="185" t="s">
        <v>85</v>
      </c>
      <c r="J3" s="183" t="s">
        <v>124</v>
      </c>
      <c r="K3" s="184" t="s">
        <v>681</v>
      </c>
      <c r="L3" s="185" t="s">
        <v>85</v>
      </c>
      <c r="M3" s="183" t="s">
        <v>124</v>
      </c>
      <c r="N3" s="184" t="s">
        <v>681</v>
      </c>
      <c r="O3" s="185" t="s">
        <v>85</v>
      </c>
      <c r="P3" s="183" t="s">
        <v>124</v>
      </c>
      <c r="Q3" s="184" t="s">
        <v>681</v>
      </c>
      <c r="R3" s="185" t="s">
        <v>85</v>
      </c>
      <c r="T3" s="69" t="s">
        <v>749</v>
      </c>
      <c r="U3" s="1579" t="s">
        <v>714</v>
      </c>
      <c r="V3" s="1579"/>
      <c r="W3" s="1579"/>
      <c r="X3" s="78" t="s">
        <v>747</v>
      </c>
      <c r="Y3" s="78" t="s">
        <v>748</v>
      </c>
      <c r="AA3" s="2" t="s">
        <v>749</v>
      </c>
      <c r="AC3" s="69" t="s">
        <v>784</v>
      </c>
      <c r="AD3" s="69" t="s">
        <v>785</v>
      </c>
      <c r="AE3" s="69" t="s">
        <v>786</v>
      </c>
      <c r="AF3" s="69" t="s">
        <v>81</v>
      </c>
      <c r="AH3" s="192" t="s">
        <v>750</v>
      </c>
      <c r="AI3" s="28"/>
      <c r="AJ3" s="28"/>
      <c r="AK3" s="189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1" t="s">
        <v>405</v>
      </c>
      <c r="F4" s="95" t="s">
        <v>685</v>
      </c>
      <c r="G4" s="161">
        <v>1</v>
      </c>
      <c r="P4" s="161">
        <v>1</v>
      </c>
      <c r="T4" s="177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77">
        <v>55</v>
      </c>
      <c r="AC4" s="68">
        <f>(VLOOKUP($D4,$AH$4:$AK$40,2,FALSE))*(G4+J4+M4+P4)</f>
        <v>11.054</v>
      </c>
      <c r="AD4" s="68">
        <f>(VLOOKUP($D4,$AH$4:$AK$40,3,FALSE))*(H4+K4+N4+Q4)</f>
        <v>0</v>
      </c>
      <c r="AE4" s="68">
        <f>(VLOOKUP($D4,$AH$4:$AK$40,4,FALSE))*(I4+L4+O4+R4)</f>
        <v>0</v>
      </c>
      <c r="AF4" s="68">
        <f>SUM(AC4:AE4)</f>
        <v>11.054</v>
      </c>
      <c r="AH4" s="4" t="s">
        <v>4</v>
      </c>
      <c r="AI4" s="187">
        <f>ROUND((1/6)*0.2*(4.1*4.1+(4.1+3.7)*(4.1+3.7)+3.7*3.7)+0.1*(4.1*4.1),3)</f>
        <v>4.726</v>
      </c>
      <c r="AJ4" s="187">
        <f t="shared" ref="AJ4:AJ10" si="2">ROUND((1/6)*1.09*(2.35*2.35+(2.35+0.68)*(2.35+0.68)+0.68*0.68),3)</f>
        <v>2.7549999999999999</v>
      </c>
      <c r="AK4" s="188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1" t="s">
        <v>405</v>
      </c>
      <c r="F5" s="95" t="s">
        <v>685</v>
      </c>
      <c r="G5" s="161">
        <v>1</v>
      </c>
      <c r="M5" s="161">
        <v>1</v>
      </c>
      <c r="T5" s="177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77">
        <v>55</v>
      </c>
      <c r="AC5" s="68">
        <f t="shared" ref="AC5:AC69" si="4">(VLOOKUP($D5,$AH$4:$AK$40,2,FALSE))*(G5+J5+M5+P5)</f>
        <v>11.054</v>
      </c>
      <c r="AD5" s="68">
        <f t="shared" ref="AD5:AD69" si="5">(VLOOKUP($D5,$AH$4:$AK$40,3,FALSE))*(H5+K5+N5+Q5)</f>
        <v>0</v>
      </c>
      <c r="AE5" s="68">
        <f t="shared" ref="AE5:AE69" si="6">(VLOOKUP($D5,$AH$4:$AK$40,4,FALSE))*(I5+L5+O5+R5)</f>
        <v>0</v>
      </c>
      <c r="AF5" s="68">
        <f t="shared" ref="AF5:AF69" si="7">SUM(AC5:AE5)</f>
        <v>11.054</v>
      </c>
      <c r="AH5" s="4" t="s">
        <v>154</v>
      </c>
      <c r="AI5" s="187">
        <f>ROUND((1/6)*0.2*(4.1*4.1+(4.1+3.7)*(4.1+3.7)+3.7*3.7)+0.1*(4.1*4.1),3)</f>
        <v>4.726</v>
      </c>
      <c r="AJ5" s="187">
        <f t="shared" si="2"/>
        <v>2.7549999999999999</v>
      </c>
      <c r="AK5" s="188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1" t="s">
        <v>405</v>
      </c>
      <c r="F6" s="95" t="s">
        <v>685</v>
      </c>
      <c r="H6" s="160">
        <v>1</v>
      </c>
      <c r="I6" s="159">
        <v>1</v>
      </c>
      <c r="J6" s="161">
        <v>1</v>
      </c>
      <c r="N6" s="160">
        <v>1</v>
      </c>
      <c r="O6" s="159">
        <v>1</v>
      </c>
      <c r="P6" s="161">
        <v>1</v>
      </c>
      <c r="T6" s="177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77">
        <v>40</v>
      </c>
      <c r="AC6" s="68">
        <f t="shared" si="4"/>
        <v>11.054</v>
      </c>
      <c r="AD6" s="68">
        <f t="shared" si="5"/>
        <v>5.51</v>
      </c>
      <c r="AE6" s="68">
        <f t="shared" si="6"/>
        <v>2.0859999999999999</v>
      </c>
      <c r="AF6" s="68">
        <f t="shared" si="7"/>
        <v>18.649999999999999</v>
      </c>
      <c r="AH6" s="4" t="s">
        <v>3</v>
      </c>
      <c r="AI6" s="187">
        <f>ROUND((1/6)*0.2*(4.1*4.1+(4.1+3.7)*(4.1+3.7)+3.7*3.7)+0.1*(4.1*4.1),3)</f>
        <v>4.726</v>
      </c>
      <c r="AJ6" s="187">
        <f t="shared" si="2"/>
        <v>2.7549999999999999</v>
      </c>
      <c r="AK6" s="188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1" t="s">
        <v>405</v>
      </c>
      <c r="F7" s="95" t="s">
        <v>685</v>
      </c>
      <c r="H7" s="160">
        <v>1</v>
      </c>
      <c r="J7" s="161">
        <v>1</v>
      </c>
      <c r="Q7" s="160">
        <v>1</v>
      </c>
      <c r="T7" s="177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77">
        <v>52</v>
      </c>
      <c r="AC7" s="68">
        <f>(VLOOKUP($D7,$AH$4:$AK$40,2,FALSE))*(G7+J7+M7+P7)</f>
        <v>5.5270000000000001</v>
      </c>
      <c r="AD7" s="68">
        <f t="shared" si="5"/>
        <v>5.51</v>
      </c>
      <c r="AE7" s="68">
        <f t="shared" si="6"/>
        <v>0</v>
      </c>
      <c r="AF7" s="68">
        <f t="shared" si="7"/>
        <v>11.036999999999999</v>
      </c>
      <c r="AH7" s="4" t="s">
        <v>170</v>
      </c>
      <c r="AI7" s="187">
        <f>ROUND((1/6)*0.23*(4.25*4.25+(4.25+3.79)*(4.25+3.79)+3.79*3.79)+0.1*(4.25*4.25),3)</f>
        <v>5.5270000000000001</v>
      </c>
      <c r="AJ7" s="187">
        <f t="shared" si="2"/>
        <v>2.7549999999999999</v>
      </c>
      <c r="AK7" s="188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1" t="s">
        <v>405</v>
      </c>
      <c r="F8" s="95" t="s">
        <v>685</v>
      </c>
      <c r="I8" s="159">
        <v>1</v>
      </c>
      <c r="R8" s="159">
        <v>1</v>
      </c>
      <c r="T8" s="177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77">
        <v>40</v>
      </c>
      <c r="AC8" s="68">
        <f t="shared" si="4"/>
        <v>0</v>
      </c>
      <c r="AD8" s="68">
        <f t="shared" si="5"/>
        <v>0</v>
      </c>
      <c r="AE8" s="68">
        <f t="shared" si="6"/>
        <v>2.0859999999999999</v>
      </c>
      <c r="AF8" s="68">
        <f t="shared" si="7"/>
        <v>2.0859999999999999</v>
      </c>
      <c r="AH8" s="4" t="s">
        <v>2</v>
      </c>
      <c r="AI8" s="187">
        <f>ROUND((1/6)*0.23*(4.25*4.25+(4.25+3.79)*(4.25+3.79)+3.79*3.79)+0.1*(4.25*4.25),3)</f>
        <v>5.5270000000000001</v>
      </c>
      <c r="AJ8" s="187">
        <f t="shared" si="2"/>
        <v>2.7549999999999999</v>
      </c>
      <c r="AK8" s="188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1" t="s">
        <v>405</v>
      </c>
      <c r="F9" s="95" t="s">
        <v>685</v>
      </c>
      <c r="K9" s="160">
        <v>1</v>
      </c>
      <c r="L9" s="159">
        <v>1</v>
      </c>
      <c r="M9" s="161">
        <v>1</v>
      </c>
      <c r="N9" s="160">
        <v>1</v>
      </c>
      <c r="O9" s="159">
        <v>1</v>
      </c>
      <c r="T9" s="177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77">
        <v>40</v>
      </c>
      <c r="AC9" s="68">
        <f t="shared" si="4"/>
        <v>5.5270000000000001</v>
      </c>
      <c r="AD9" s="68">
        <f t="shared" si="5"/>
        <v>5.51</v>
      </c>
      <c r="AE9" s="68">
        <f t="shared" si="6"/>
        <v>2.0859999999999999</v>
      </c>
      <c r="AF9" s="68">
        <f t="shared" si="7"/>
        <v>13.122999999999999</v>
      </c>
      <c r="AH9" s="4" t="s">
        <v>79</v>
      </c>
      <c r="AI9" s="187">
        <f>ROUND((1/6)*0.23*(4.25*4.25+(4.25+3.79)*(4.25+3.79)+3.79*3.79)+0.1*(4.25*4.25),3)</f>
        <v>5.5270000000000001</v>
      </c>
      <c r="AJ9" s="187">
        <f t="shared" si="2"/>
        <v>2.7549999999999999</v>
      </c>
      <c r="AK9" s="188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1" t="s">
        <v>405</v>
      </c>
      <c r="F10" s="95" t="s">
        <v>685</v>
      </c>
      <c r="K10" s="160">
        <v>1</v>
      </c>
      <c r="L10" s="159">
        <v>1</v>
      </c>
      <c r="Q10" s="160">
        <v>1</v>
      </c>
      <c r="R10" s="159">
        <v>1</v>
      </c>
      <c r="T10" s="177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77">
        <v>55</v>
      </c>
      <c r="AC10" s="68">
        <f t="shared" si="4"/>
        <v>0</v>
      </c>
      <c r="AD10" s="68">
        <f t="shared" si="5"/>
        <v>5.51</v>
      </c>
      <c r="AE10" s="68">
        <f t="shared" si="6"/>
        <v>2.0859999999999999</v>
      </c>
      <c r="AF10" s="68">
        <f t="shared" si="7"/>
        <v>7.5960000000000001</v>
      </c>
      <c r="AH10" s="4" t="s">
        <v>49</v>
      </c>
      <c r="AI10" s="187">
        <f>ROUND((1/6)*0.23*(4.25*4.25+(4.25+3.79)*(4.25+3.79)+3.79*3.79)+0.1*(4.25*4.25),3)</f>
        <v>5.5270000000000001</v>
      </c>
      <c r="AJ10" s="187">
        <f t="shared" si="2"/>
        <v>2.7549999999999999</v>
      </c>
      <c r="AK10" s="188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1" t="s">
        <v>405</v>
      </c>
      <c r="F11" s="95" t="s">
        <v>685</v>
      </c>
      <c r="G11" s="161">
        <v>1</v>
      </c>
      <c r="H11" s="160">
        <v>1</v>
      </c>
      <c r="I11" s="159">
        <v>1</v>
      </c>
      <c r="J11" s="161">
        <v>1</v>
      </c>
      <c r="M11" s="161">
        <v>1</v>
      </c>
      <c r="N11" s="160">
        <v>1</v>
      </c>
      <c r="O11" s="159">
        <v>1</v>
      </c>
      <c r="P11" s="161">
        <v>1</v>
      </c>
      <c r="T11" s="177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77">
        <v>55</v>
      </c>
      <c r="AC11" s="68">
        <f t="shared" si="4"/>
        <v>22.108000000000001</v>
      </c>
      <c r="AD11" s="68">
        <f t="shared" si="5"/>
        <v>5.51</v>
      </c>
      <c r="AE11" s="68">
        <f t="shared" si="6"/>
        <v>2.0859999999999999</v>
      </c>
      <c r="AF11" s="68">
        <f t="shared" si="7"/>
        <v>29.704000000000001</v>
      </c>
      <c r="AH11" s="4" t="s">
        <v>197</v>
      </c>
      <c r="AI11" s="68"/>
      <c r="AJ11" s="68"/>
      <c r="AK11" s="190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1" t="s">
        <v>405</v>
      </c>
      <c r="F12" s="95" t="s">
        <v>685</v>
      </c>
      <c r="K12" s="160">
        <v>1</v>
      </c>
      <c r="L12" s="159">
        <v>1</v>
      </c>
      <c r="Q12" s="160">
        <v>1</v>
      </c>
      <c r="R12" s="159">
        <v>1</v>
      </c>
      <c r="T12" s="177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77">
        <v>50</v>
      </c>
      <c r="AC12" s="68">
        <f t="shared" si="4"/>
        <v>0</v>
      </c>
      <c r="AD12" s="68">
        <f t="shared" si="5"/>
        <v>5.51</v>
      </c>
      <c r="AE12" s="68">
        <f t="shared" si="6"/>
        <v>2.0859999999999999</v>
      </c>
      <c r="AF12" s="68">
        <f t="shared" si="7"/>
        <v>7.5960000000000001</v>
      </c>
      <c r="AH12" s="4" t="s">
        <v>226</v>
      </c>
      <c r="AI12" s="68"/>
      <c r="AJ12" s="68"/>
      <c r="AK12" s="190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1" t="s">
        <v>405</v>
      </c>
      <c r="F13" s="95" t="s">
        <v>685</v>
      </c>
      <c r="G13" s="161">
        <v>1</v>
      </c>
      <c r="H13" s="160">
        <v>1</v>
      </c>
      <c r="I13" s="159">
        <v>1</v>
      </c>
      <c r="J13" s="161">
        <v>1</v>
      </c>
      <c r="K13" s="160">
        <v>1</v>
      </c>
      <c r="L13" s="159">
        <v>1</v>
      </c>
      <c r="T13" s="177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77">
        <v>58</v>
      </c>
      <c r="AC13" s="68">
        <f t="shared" si="4"/>
        <v>11.054</v>
      </c>
      <c r="AD13" s="68">
        <f t="shared" si="5"/>
        <v>5.51</v>
      </c>
      <c r="AE13" s="68">
        <f t="shared" si="6"/>
        <v>2.0859999999999999</v>
      </c>
      <c r="AF13" s="68">
        <f t="shared" si="7"/>
        <v>18.649999999999999</v>
      </c>
      <c r="AH13" s="4" t="s">
        <v>227</v>
      </c>
      <c r="AI13" s="68"/>
      <c r="AJ13" s="68"/>
      <c r="AK13" s="190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1" t="s">
        <v>405</v>
      </c>
      <c r="F14" s="95" t="s">
        <v>685</v>
      </c>
      <c r="M14" s="161">
        <v>1</v>
      </c>
      <c r="N14" s="160">
        <v>1</v>
      </c>
      <c r="O14" s="159">
        <v>1</v>
      </c>
      <c r="P14" s="161">
        <v>1</v>
      </c>
      <c r="Q14" s="160">
        <v>1</v>
      </c>
      <c r="R14" s="159">
        <v>1</v>
      </c>
      <c r="T14" s="177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77">
        <v>40</v>
      </c>
      <c r="AC14" s="68">
        <f t="shared" si="4"/>
        <v>11.054</v>
      </c>
      <c r="AD14" s="68">
        <f t="shared" si="5"/>
        <v>5.51</v>
      </c>
      <c r="AE14" s="68">
        <f t="shared" si="6"/>
        <v>2.0859999999999999</v>
      </c>
      <c r="AF14" s="68">
        <f t="shared" si="7"/>
        <v>18.649999999999999</v>
      </c>
      <c r="AH14" s="4" t="s">
        <v>211</v>
      </c>
      <c r="AI14" s="68"/>
      <c r="AJ14" s="68"/>
      <c r="AK14" s="190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1" t="s">
        <v>405</v>
      </c>
      <c r="F15" s="95" t="s">
        <v>685</v>
      </c>
      <c r="P15" s="161">
        <v>1</v>
      </c>
      <c r="T15" s="177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77">
        <v>44</v>
      </c>
      <c r="AC15" s="68">
        <f t="shared" si="4"/>
        <v>5.5270000000000001</v>
      </c>
      <c r="AD15" s="68">
        <f t="shared" si="5"/>
        <v>0</v>
      </c>
      <c r="AE15" s="68">
        <f t="shared" si="6"/>
        <v>0</v>
      </c>
      <c r="AF15" s="68">
        <f t="shared" si="7"/>
        <v>5.5270000000000001</v>
      </c>
      <c r="AH15" s="4" t="s">
        <v>403</v>
      </c>
      <c r="AI15" s="68"/>
      <c r="AJ15" s="68"/>
      <c r="AK15" s="190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1" t="s">
        <v>405</v>
      </c>
      <c r="F16" s="95" t="s">
        <v>685</v>
      </c>
      <c r="M16" s="161">
        <v>1</v>
      </c>
      <c r="Q16" s="160">
        <v>1</v>
      </c>
      <c r="T16" s="177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77">
        <v>40</v>
      </c>
      <c r="AC16" s="68">
        <f t="shared" si="4"/>
        <v>5.5270000000000001</v>
      </c>
      <c r="AD16" s="68">
        <f t="shared" si="5"/>
        <v>2.7549999999999999</v>
      </c>
      <c r="AE16" s="68">
        <f t="shared" si="6"/>
        <v>0</v>
      </c>
      <c r="AF16" s="68">
        <f t="shared" si="7"/>
        <v>8.282</v>
      </c>
      <c r="AH16" s="4" t="s">
        <v>184</v>
      </c>
      <c r="AI16" s="68"/>
      <c r="AJ16" s="68"/>
      <c r="AK16" s="190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1" t="s">
        <v>405</v>
      </c>
      <c r="F17" s="95" t="s">
        <v>685</v>
      </c>
      <c r="M17" s="161">
        <v>1</v>
      </c>
      <c r="P17" s="161">
        <v>1</v>
      </c>
      <c r="T17" s="177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77">
        <v>40</v>
      </c>
      <c r="AC17" s="68">
        <f>(VLOOKUP($D17,$AH$4:$AK$40,2,FALSE))*(G17+J17+M17+P17)</f>
        <v>11.054</v>
      </c>
      <c r="AD17" s="68">
        <f t="shared" si="5"/>
        <v>0</v>
      </c>
      <c r="AE17" s="68">
        <f t="shared" si="6"/>
        <v>0</v>
      </c>
      <c r="AF17" s="68">
        <f t="shared" si="7"/>
        <v>11.054</v>
      </c>
      <c r="AH17" s="4" t="s">
        <v>228</v>
      </c>
      <c r="AI17" s="68"/>
      <c r="AJ17" s="68"/>
      <c r="AK17" s="190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1" t="s">
        <v>405</v>
      </c>
      <c r="F18" s="95" t="s">
        <v>685</v>
      </c>
      <c r="N18" s="160">
        <v>1</v>
      </c>
      <c r="O18" s="159">
        <v>1</v>
      </c>
      <c r="R18" s="159">
        <v>1</v>
      </c>
      <c r="T18" s="177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77">
        <v>50</v>
      </c>
      <c r="AC18" s="68">
        <f t="shared" si="4"/>
        <v>0</v>
      </c>
      <c r="AD18" s="68">
        <f t="shared" si="5"/>
        <v>2.7549999999999999</v>
      </c>
      <c r="AE18" s="68">
        <f t="shared" si="6"/>
        <v>2.0859999999999999</v>
      </c>
      <c r="AF18" s="68">
        <f t="shared" si="7"/>
        <v>4.8409999999999993</v>
      </c>
      <c r="AH18" s="4" t="s">
        <v>229</v>
      </c>
      <c r="AI18" s="68"/>
      <c r="AJ18" s="68"/>
      <c r="AK18" s="190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1" t="s">
        <v>405</v>
      </c>
      <c r="F19" s="95" t="s">
        <v>685</v>
      </c>
      <c r="G19" s="161">
        <v>1</v>
      </c>
      <c r="J19" s="161">
        <v>1</v>
      </c>
      <c r="T19" s="177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77">
        <v>35</v>
      </c>
      <c r="AC19" s="68">
        <f t="shared" si="4"/>
        <v>11.054</v>
      </c>
      <c r="AD19" s="68">
        <f t="shared" si="5"/>
        <v>0</v>
      </c>
      <c r="AE19" s="68">
        <f t="shared" si="6"/>
        <v>0</v>
      </c>
      <c r="AF19" s="68">
        <f t="shared" si="7"/>
        <v>11.054</v>
      </c>
      <c r="AH19" s="4" t="s">
        <v>215</v>
      </c>
      <c r="AI19" s="68"/>
      <c r="AJ19" s="68"/>
      <c r="AK19" s="190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1" t="s">
        <v>405</v>
      </c>
      <c r="F20" s="95" t="s">
        <v>685</v>
      </c>
      <c r="G20" s="161">
        <v>1</v>
      </c>
      <c r="T20" s="177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77">
        <v>40</v>
      </c>
      <c r="AC20" s="68">
        <f t="shared" si="4"/>
        <v>5.5270000000000001</v>
      </c>
      <c r="AD20" s="68">
        <f t="shared" si="5"/>
        <v>0</v>
      </c>
      <c r="AE20" s="68">
        <f t="shared" si="6"/>
        <v>0</v>
      </c>
      <c r="AF20" s="68">
        <f t="shared" si="7"/>
        <v>5.5270000000000001</v>
      </c>
      <c r="AH20" s="4" t="s">
        <v>185</v>
      </c>
      <c r="AI20" s="68"/>
      <c r="AJ20" s="68"/>
      <c r="AK20" s="190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1" t="s">
        <v>405</v>
      </c>
      <c r="F21" s="95" t="s">
        <v>685</v>
      </c>
      <c r="H21" s="160">
        <v>1</v>
      </c>
      <c r="I21" s="159">
        <v>1</v>
      </c>
      <c r="K21" s="160">
        <v>1</v>
      </c>
      <c r="L21" s="159">
        <v>1</v>
      </c>
      <c r="T21" s="177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77">
        <v>40</v>
      </c>
      <c r="AC21" s="68">
        <f t="shared" si="4"/>
        <v>0</v>
      </c>
      <c r="AD21" s="68">
        <f t="shared" si="5"/>
        <v>5.51</v>
      </c>
      <c r="AE21" s="68">
        <f t="shared" si="6"/>
        <v>2.0859999999999999</v>
      </c>
      <c r="AF21" s="68">
        <f t="shared" si="7"/>
        <v>7.5960000000000001</v>
      </c>
      <c r="AH21" s="4" t="s">
        <v>217</v>
      </c>
      <c r="AI21" s="68"/>
      <c r="AJ21" s="68"/>
      <c r="AK21" s="190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1" t="s">
        <v>405</v>
      </c>
      <c r="F22" s="95" t="s">
        <v>685</v>
      </c>
      <c r="H22" s="160">
        <v>1</v>
      </c>
      <c r="I22" s="159">
        <v>1</v>
      </c>
      <c r="J22" s="161">
        <v>1</v>
      </c>
      <c r="K22" s="160">
        <v>1</v>
      </c>
      <c r="T22" s="177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77">
        <v>50</v>
      </c>
      <c r="AC22" s="68">
        <f t="shared" si="4"/>
        <v>5.5270000000000001</v>
      </c>
      <c r="AD22" s="68">
        <f t="shared" si="5"/>
        <v>5.51</v>
      </c>
      <c r="AE22" s="68">
        <f t="shared" si="6"/>
        <v>1.0429999999999999</v>
      </c>
      <c r="AF22" s="68">
        <f t="shared" si="7"/>
        <v>12.079999999999998</v>
      </c>
      <c r="AH22" s="4" t="s">
        <v>214</v>
      </c>
      <c r="AI22" s="68"/>
      <c r="AJ22" s="68"/>
      <c r="AK22" s="190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1" t="s">
        <v>405</v>
      </c>
      <c r="F23" s="95" t="s">
        <v>685</v>
      </c>
      <c r="G23" s="161">
        <v>1</v>
      </c>
      <c r="J23" s="161">
        <v>1</v>
      </c>
      <c r="M23" s="161">
        <v>1</v>
      </c>
      <c r="P23" s="161">
        <v>1</v>
      </c>
      <c r="T23" s="177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77">
        <v>50</v>
      </c>
      <c r="AC23" s="68">
        <f t="shared" si="4"/>
        <v>22.108000000000001</v>
      </c>
      <c r="AD23" s="68">
        <f t="shared" si="5"/>
        <v>0</v>
      </c>
      <c r="AE23" s="68">
        <f t="shared" si="6"/>
        <v>0</v>
      </c>
      <c r="AF23" s="68">
        <f t="shared" si="7"/>
        <v>22.108000000000001</v>
      </c>
      <c r="AH23" s="4" t="s">
        <v>210</v>
      </c>
      <c r="AI23" s="68"/>
      <c r="AJ23" s="68"/>
      <c r="AK23" s="190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1" t="s">
        <v>405</v>
      </c>
      <c r="F24" s="95" t="s">
        <v>685</v>
      </c>
      <c r="L24" s="159">
        <v>1</v>
      </c>
      <c r="T24" s="177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77">
        <v>40</v>
      </c>
      <c r="AC24" s="68">
        <f t="shared" si="4"/>
        <v>0</v>
      </c>
      <c r="AD24" s="68">
        <f t="shared" si="5"/>
        <v>0</v>
      </c>
      <c r="AE24" s="68">
        <f t="shared" si="6"/>
        <v>1.0429999999999999</v>
      </c>
      <c r="AF24" s="68">
        <f t="shared" si="7"/>
        <v>1.0429999999999999</v>
      </c>
      <c r="AH24" s="4" t="s">
        <v>173</v>
      </c>
      <c r="AI24" s="68"/>
      <c r="AJ24" s="68"/>
      <c r="AK24" s="190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1" t="s">
        <v>405</v>
      </c>
      <c r="F25" s="95" t="s">
        <v>685</v>
      </c>
      <c r="N25" s="160">
        <v>1</v>
      </c>
      <c r="O25" s="159">
        <v>1</v>
      </c>
      <c r="Q25" s="160">
        <v>1</v>
      </c>
      <c r="R25" s="159">
        <v>1</v>
      </c>
      <c r="T25" s="177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77">
        <v>42</v>
      </c>
      <c r="AC25" s="68">
        <f t="shared" si="4"/>
        <v>0</v>
      </c>
      <c r="AD25" s="68">
        <f t="shared" si="5"/>
        <v>5.51</v>
      </c>
      <c r="AE25" s="68">
        <f t="shared" si="6"/>
        <v>2.0859999999999999</v>
      </c>
      <c r="AF25" s="68">
        <f t="shared" si="7"/>
        <v>7.5960000000000001</v>
      </c>
      <c r="AH25" s="4" t="s">
        <v>219</v>
      </c>
      <c r="AI25" s="68"/>
      <c r="AJ25" s="68"/>
      <c r="AK25" s="190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1" t="s">
        <v>405</v>
      </c>
      <c r="F26" s="95" t="s">
        <v>685</v>
      </c>
      <c r="H26" s="160">
        <v>1</v>
      </c>
      <c r="I26" s="159">
        <v>1</v>
      </c>
      <c r="K26" s="160">
        <v>1</v>
      </c>
      <c r="L26" s="159">
        <v>1</v>
      </c>
      <c r="T26" s="177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77">
        <v>40</v>
      </c>
      <c r="AC26" s="68">
        <f t="shared" si="4"/>
        <v>0</v>
      </c>
      <c r="AD26" s="68">
        <f t="shared" si="5"/>
        <v>5.51</v>
      </c>
      <c r="AE26" s="68">
        <f t="shared" si="6"/>
        <v>2.0859999999999999</v>
      </c>
      <c r="AF26" s="68">
        <f t="shared" si="7"/>
        <v>7.5960000000000001</v>
      </c>
      <c r="AH26" s="4" t="s">
        <v>230</v>
      </c>
      <c r="AI26" s="68"/>
      <c r="AJ26" s="68"/>
      <c r="AK26" s="190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1" t="s">
        <v>405</v>
      </c>
      <c r="F27" s="95" t="s">
        <v>685</v>
      </c>
      <c r="J27" s="161">
        <v>1</v>
      </c>
      <c r="T27" s="177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77">
        <v>68</v>
      </c>
      <c r="AC27" s="68">
        <f t="shared" si="4"/>
        <v>5.5270000000000001</v>
      </c>
      <c r="AD27" s="68">
        <f t="shared" si="5"/>
        <v>0</v>
      </c>
      <c r="AE27" s="68">
        <f t="shared" si="6"/>
        <v>0</v>
      </c>
      <c r="AF27" s="68">
        <f t="shared" si="7"/>
        <v>5.5270000000000001</v>
      </c>
      <c r="AH27" s="4" t="s">
        <v>216</v>
      </c>
      <c r="AI27" s="68"/>
      <c r="AJ27" s="68"/>
      <c r="AK27" s="190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1" t="s">
        <v>405</v>
      </c>
      <c r="F28" s="95" t="s">
        <v>685</v>
      </c>
      <c r="N28" s="160">
        <v>1</v>
      </c>
      <c r="O28" s="159">
        <v>1</v>
      </c>
      <c r="Q28" s="160">
        <v>1</v>
      </c>
      <c r="R28" s="159">
        <v>1</v>
      </c>
      <c r="T28" s="177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77">
        <v>45</v>
      </c>
      <c r="AC28" s="68">
        <f t="shared" si="4"/>
        <v>0</v>
      </c>
      <c r="AD28" s="68">
        <f t="shared" si="5"/>
        <v>5.51</v>
      </c>
      <c r="AE28" s="68">
        <f t="shared" si="6"/>
        <v>2.0859999999999999</v>
      </c>
      <c r="AF28" s="68">
        <f t="shared" si="7"/>
        <v>7.5960000000000001</v>
      </c>
      <c r="AH28" s="4" t="s">
        <v>430</v>
      </c>
      <c r="AI28" s="68"/>
      <c r="AJ28" s="68"/>
      <c r="AK28" s="190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1" t="s">
        <v>405</v>
      </c>
      <c r="F29" s="95" t="s">
        <v>685</v>
      </c>
      <c r="M29" s="161">
        <v>1</v>
      </c>
      <c r="P29" s="161">
        <v>1</v>
      </c>
      <c r="T29" s="177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77">
        <v>58</v>
      </c>
      <c r="AC29" s="68">
        <f t="shared" si="4"/>
        <v>11.054</v>
      </c>
      <c r="AD29" s="68">
        <f t="shared" si="5"/>
        <v>0</v>
      </c>
      <c r="AE29" s="68">
        <f t="shared" si="6"/>
        <v>0</v>
      </c>
      <c r="AF29" s="68">
        <f t="shared" si="7"/>
        <v>11.054</v>
      </c>
      <c r="AH29" s="4" t="s">
        <v>280</v>
      </c>
      <c r="AI29" s="68"/>
      <c r="AJ29" s="68"/>
      <c r="AK29" s="190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1" t="s">
        <v>405</v>
      </c>
      <c r="F30" s="95" t="s">
        <v>685</v>
      </c>
      <c r="M30" s="161">
        <v>1</v>
      </c>
      <c r="T30" s="177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77">
        <v>60</v>
      </c>
      <c r="AC30" s="68">
        <f t="shared" si="4"/>
        <v>4.726</v>
      </c>
      <c r="AD30" s="68">
        <f t="shared" si="5"/>
        <v>0</v>
      </c>
      <c r="AE30" s="68">
        <f t="shared" si="6"/>
        <v>0</v>
      </c>
      <c r="AF30" s="68">
        <f t="shared" si="7"/>
        <v>4.726</v>
      </c>
      <c r="AH30" s="4" t="s">
        <v>178</v>
      </c>
      <c r="AI30" s="68"/>
      <c r="AJ30" s="68"/>
      <c r="AK30" s="190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1" t="s">
        <v>405</v>
      </c>
      <c r="F31" s="95" t="s">
        <v>685</v>
      </c>
      <c r="G31" s="161">
        <v>1</v>
      </c>
      <c r="P31" s="161">
        <v>1</v>
      </c>
      <c r="T31" s="177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77">
        <v>50</v>
      </c>
      <c r="AC31" s="68">
        <f t="shared" si="4"/>
        <v>11.054</v>
      </c>
      <c r="AD31" s="68">
        <f t="shared" si="5"/>
        <v>0</v>
      </c>
      <c r="AE31" s="68">
        <f t="shared" si="6"/>
        <v>0</v>
      </c>
      <c r="AF31" s="68">
        <f t="shared" si="7"/>
        <v>11.054</v>
      </c>
      <c r="AH31" s="4" t="s">
        <v>183</v>
      </c>
      <c r="AI31" s="68"/>
      <c r="AJ31" s="68"/>
      <c r="AK31" s="190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1" t="s">
        <v>405</v>
      </c>
      <c r="F32" s="95" t="s">
        <v>685</v>
      </c>
      <c r="J32" s="161">
        <v>1</v>
      </c>
      <c r="N32" s="160">
        <v>1</v>
      </c>
      <c r="O32" s="159">
        <v>1</v>
      </c>
      <c r="T32" s="177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77">
        <v>50</v>
      </c>
      <c r="AC32" s="68">
        <f t="shared" si="4"/>
        <v>4.726</v>
      </c>
      <c r="AD32" s="68">
        <f t="shared" si="5"/>
        <v>2.7549999999999999</v>
      </c>
      <c r="AE32" s="68">
        <f t="shared" si="6"/>
        <v>1.054</v>
      </c>
      <c r="AF32" s="68">
        <f t="shared" si="7"/>
        <v>8.5350000000000001</v>
      </c>
      <c r="AH32" s="4" t="s">
        <v>231</v>
      </c>
      <c r="AI32" s="68"/>
      <c r="AJ32" s="68"/>
      <c r="AK32" s="190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1" t="s">
        <v>405</v>
      </c>
      <c r="F33" s="95" t="s">
        <v>685</v>
      </c>
      <c r="H33" s="160">
        <v>1</v>
      </c>
      <c r="I33" s="159">
        <v>1</v>
      </c>
      <c r="J33" s="161">
        <v>1</v>
      </c>
      <c r="M33" s="161">
        <v>1</v>
      </c>
      <c r="Q33" s="160">
        <v>1</v>
      </c>
      <c r="R33" s="159">
        <v>1</v>
      </c>
      <c r="T33" s="177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77">
        <v>50</v>
      </c>
      <c r="AC33" s="68">
        <f t="shared" si="4"/>
        <v>11.054</v>
      </c>
      <c r="AD33" s="68">
        <f t="shared" si="5"/>
        <v>5.51</v>
      </c>
      <c r="AE33" s="68">
        <f t="shared" si="6"/>
        <v>2.0859999999999999</v>
      </c>
      <c r="AF33" s="68">
        <f t="shared" si="7"/>
        <v>18.649999999999999</v>
      </c>
      <c r="AH33" s="4" t="s">
        <v>208</v>
      </c>
      <c r="AI33" s="68"/>
      <c r="AJ33" s="68"/>
      <c r="AK33" s="190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1" t="s">
        <v>405</v>
      </c>
      <c r="F34" s="95" t="s">
        <v>685</v>
      </c>
      <c r="G34" s="161">
        <v>1</v>
      </c>
      <c r="K34" s="160">
        <v>1</v>
      </c>
      <c r="L34" s="159">
        <v>1</v>
      </c>
      <c r="T34" s="177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77">
        <v>50</v>
      </c>
      <c r="AC34" s="68">
        <f t="shared" si="4"/>
        <v>4.726</v>
      </c>
      <c r="AD34" s="68">
        <f t="shared" si="5"/>
        <v>2.7549999999999999</v>
      </c>
      <c r="AE34" s="68">
        <f t="shared" si="6"/>
        <v>1.054</v>
      </c>
      <c r="AF34" s="68">
        <f t="shared" si="7"/>
        <v>8.5350000000000001</v>
      </c>
      <c r="AH34" s="4" t="s">
        <v>188</v>
      </c>
      <c r="AI34" s="68"/>
      <c r="AJ34" s="68"/>
      <c r="AK34" s="190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1" t="s">
        <v>405</v>
      </c>
      <c r="F35" s="95" t="s">
        <v>685</v>
      </c>
      <c r="K35" s="160">
        <v>1</v>
      </c>
      <c r="L35" s="159">
        <v>1</v>
      </c>
      <c r="N35" s="160">
        <v>1</v>
      </c>
      <c r="O35" s="159">
        <v>1</v>
      </c>
      <c r="T35" s="177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77">
        <v>45</v>
      </c>
      <c r="AC35" s="68">
        <f t="shared" si="4"/>
        <v>0</v>
      </c>
      <c r="AD35" s="68">
        <f t="shared" si="5"/>
        <v>5.51</v>
      </c>
      <c r="AE35" s="68">
        <f t="shared" si="6"/>
        <v>2.0859999999999999</v>
      </c>
      <c r="AF35" s="68">
        <f t="shared" si="7"/>
        <v>7.5960000000000001</v>
      </c>
      <c r="AH35" s="4" t="s">
        <v>213</v>
      </c>
      <c r="AI35" s="68"/>
      <c r="AJ35" s="68"/>
      <c r="AK35" s="190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1" t="s">
        <v>405</v>
      </c>
      <c r="F36" s="95" t="s">
        <v>685</v>
      </c>
      <c r="G36" s="161">
        <v>1</v>
      </c>
      <c r="J36" s="161">
        <v>1</v>
      </c>
      <c r="K36" s="160">
        <v>1</v>
      </c>
      <c r="T36" s="177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77">
        <v>40</v>
      </c>
      <c r="AC36" s="68">
        <f t="shared" si="4"/>
        <v>11.054</v>
      </c>
      <c r="AD36" s="68">
        <f t="shared" si="5"/>
        <v>2.7549999999999999</v>
      </c>
      <c r="AE36" s="68">
        <f t="shared" si="6"/>
        <v>0</v>
      </c>
      <c r="AF36" s="68">
        <f t="shared" si="7"/>
        <v>13.809000000000001</v>
      </c>
      <c r="AH36" s="4" t="s">
        <v>212</v>
      </c>
      <c r="AI36" s="68"/>
      <c r="AJ36" s="68"/>
      <c r="AK36" s="190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1" t="s">
        <v>405</v>
      </c>
      <c r="F37" s="95" t="s">
        <v>685</v>
      </c>
      <c r="H37" s="160">
        <v>1</v>
      </c>
      <c r="P37" s="161">
        <v>1</v>
      </c>
      <c r="T37" s="177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77">
        <v>45</v>
      </c>
      <c r="AC37" s="68">
        <f t="shared" si="4"/>
        <v>4.726</v>
      </c>
      <c r="AD37" s="68">
        <f t="shared" si="5"/>
        <v>2.7549999999999999</v>
      </c>
      <c r="AE37" s="68">
        <f t="shared" si="6"/>
        <v>0</v>
      </c>
      <c r="AF37" s="68">
        <f t="shared" si="7"/>
        <v>7.4809999999999999</v>
      </c>
      <c r="AH37" s="4" t="s">
        <v>209</v>
      </c>
      <c r="AI37" s="68"/>
      <c r="AJ37" s="68"/>
      <c r="AK37" s="190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1" t="s">
        <v>405</v>
      </c>
      <c r="F38" s="95" t="s">
        <v>685</v>
      </c>
      <c r="L38" s="159">
        <v>1</v>
      </c>
      <c r="M38" s="161">
        <v>1</v>
      </c>
      <c r="N38" s="160">
        <v>1</v>
      </c>
      <c r="O38" s="159">
        <v>1</v>
      </c>
      <c r="P38" s="161">
        <v>1</v>
      </c>
      <c r="Q38" s="160">
        <v>1</v>
      </c>
      <c r="R38" s="159">
        <v>1</v>
      </c>
      <c r="T38" s="177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77">
        <v>38</v>
      </c>
      <c r="AC38" s="68">
        <f t="shared" si="4"/>
        <v>11.054</v>
      </c>
      <c r="AD38" s="68">
        <f t="shared" si="5"/>
        <v>5.51</v>
      </c>
      <c r="AE38" s="68">
        <f t="shared" si="6"/>
        <v>3.1289999999999996</v>
      </c>
      <c r="AF38" s="68">
        <f t="shared" si="7"/>
        <v>19.692999999999998</v>
      </c>
      <c r="AH38" s="4" t="s">
        <v>186</v>
      </c>
      <c r="AI38" s="68"/>
      <c r="AJ38" s="68"/>
      <c r="AK38" s="190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1" t="s">
        <v>405</v>
      </c>
      <c r="F39" s="95" t="s">
        <v>685</v>
      </c>
      <c r="I39" s="159">
        <v>1</v>
      </c>
      <c r="Q39" s="160">
        <v>1</v>
      </c>
      <c r="R39" s="159">
        <v>1</v>
      </c>
      <c r="T39" s="177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77">
        <v>50</v>
      </c>
      <c r="AC39" s="68">
        <f t="shared" si="4"/>
        <v>0</v>
      </c>
      <c r="AD39" s="68">
        <f t="shared" si="5"/>
        <v>2.7549999999999999</v>
      </c>
      <c r="AE39" s="68">
        <f t="shared" si="6"/>
        <v>2.1080000000000001</v>
      </c>
      <c r="AF39" s="68">
        <f t="shared" si="7"/>
        <v>4.8629999999999995</v>
      </c>
      <c r="AH39" s="4" t="s">
        <v>218</v>
      </c>
      <c r="AI39" s="68"/>
      <c r="AJ39" s="68"/>
      <c r="AK39" s="190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1" t="s">
        <v>405</v>
      </c>
      <c r="F40" s="95" t="s">
        <v>685</v>
      </c>
      <c r="N40" s="160">
        <v>1</v>
      </c>
      <c r="Q40" s="160">
        <v>1</v>
      </c>
      <c r="T40" s="177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77">
        <v>68</v>
      </c>
      <c r="AC40" s="68">
        <f t="shared" si="4"/>
        <v>0</v>
      </c>
      <c r="AD40" s="68">
        <f t="shared" si="5"/>
        <v>5.51</v>
      </c>
      <c r="AE40" s="68">
        <f t="shared" si="6"/>
        <v>0</v>
      </c>
      <c r="AF40" s="68">
        <f t="shared" si="7"/>
        <v>5.51</v>
      </c>
      <c r="AH40" s="30" t="s">
        <v>431</v>
      </c>
      <c r="AI40" s="181"/>
      <c r="AJ40" s="181"/>
      <c r="AK40" s="191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1" t="s">
        <v>405</v>
      </c>
      <c r="F41" s="95" t="s">
        <v>685</v>
      </c>
      <c r="G41" s="161">
        <v>1</v>
      </c>
      <c r="O41" s="159">
        <v>1</v>
      </c>
      <c r="R41" s="159">
        <v>1</v>
      </c>
      <c r="T41" s="177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77">
        <v>50</v>
      </c>
      <c r="AC41" s="68">
        <f t="shared" si="4"/>
        <v>5.5270000000000001</v>
      </c>
      <c r="AD41" s="68">
        <f t="shared" si="5"/>
        <v>0</v>
      </c>
      <c r="AE41" s="68">
        <f t="shared" si="6"/>
        <v>2.0859999999999999</v>
      </c>
      <c r="AF41" s="68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1" t="s">
        <v>405</v>
      </c>
      <c r="F42" s="95" t="s">
        <v>685</v>
      </c>
      <c r="H42" s="160">
        <v>1</v>
      </c>
      <c r="I42" s="159">
        <v>1</v>
      </c>
      <c r="T42" s="177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77">
        <v>50</v>
      </c>
      <c r="AC42" s="68">
        <f t="shared" si="4"/>
        <v>0</v>
      </c>
      <c r="AD42" s="68">
        <f t="shared" si="5"/>
        <v>2.7549999999999999</v>
      </c>
      <c r="AE42" s="68">
        <f t="shared" si="6"/>
        <v>1.0429999999999999</v>
      </c>
      <c r="AF42" s="68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1" t="s">
        <v>405</v>
      </c>
      <c r="F43" s="95" t="s">
        <v>685</v>
      </c>
      <c r="H43" s="160">
        <v>1</v>
      </c>
      <c r="I43" s="159">
        <v>1</v>
      </c>
      <c r="K43" s="160">
        <v>1</v>
      </c>
      <c r="L43" s="159">
        <v>1</v>
      </c>
      <c r="T43" s="177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77">
        <v>50</v>
      </c>
      <c r="AC43" s="68">
        <f t="shared" si="4"/>
        <v>0</v>
      </c>
      <c r="AD43" s="68">
        <f t="shared" si="5"/>
        <v>5.51</v>
      </c>
      <c r="AE43" s="68">
        <f t="shared" si="6"/>
        <v>2.0859999999999999</v>
      </c>
      <c r="AF43" s="68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1" t="s">
        <v>405</v>
      </c>
      <c r="F44" s="95" t="s">
        <v>685</v>
      </c>
      <c r="J44" s="161">
        <v>1</v>
      </c>
      <c r="T44" s="177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77">
        <v>65</v>
      </c>
      <c r="AC44" s="68">
        <f t="shared" si="4"/>
        <v>5.5270000000000001</v>
      </c>
      <c r="AD44" s="68">
        <f t="shared" si="5"/>
        <v>0</v>
      </c>
      <c r="AE44" s="68">
        <f t="shared" si="6"/>
        <v>0</v>
      </c>
      <c r="AF44" s="68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3" t="s">
        <v>63</v>
      </c>
      <c r="D45" s="3" t="str">
        <f>VLOOKUP(C45,'Location Summary'!$C$4:$D$602,2,0)</f>
        <v>DC2-3</v>
      </c>
      <c r="E45" s="121" t="s">
        <v>405</v>
      </c>
      <c r="F45" s="95" t="s">
        <v>685</v>
      </c>
      <c r="M45" s="161">
        <v>1</v>
      </c>
      <c r="T45" s="177"/>
      <c r="X45" s="38">
        <f t="shared" si="3"/>
        <v>45468</v>
      </c>
      <c r="Y45" s="38">
        <f t="shared" si="8"/>
        <v>45496</v>
      </c>
      <c r="AA45" s="177"/>
      <c r="AC45" s="68"/>
      <c r="AD45" s="68"/>
      <c r="AE45" s="68"/>
      <c r="AF45" s="68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1" t="s">
        <v>405</v>
      </c>
      <c r="F46" s="95" t="s">
        <v>685</v>
      </c>
      <c r="G46" s="161">
        <v>1</v>
      </c>
      <c r="J46" s="161">
        <v>1</v>
      </c>
      <c r="K46" s="160">
        <v>1</v>
      </c>
      <c r="M46" s="161">
        <v>1</v>
      </c>
      <c r="P46" s="161">
        <v>1</v>
      </c>
      <c r="Q46" s="160">
        <v>1</v>
      </c>
      <c r="T46" s="177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77">
        <v>55</v>
      </c>
      <c r="AC46" s="68">
        <f t="shared" si="4"/>
        <v>22.108000000000001</v>
      </c>
      <c r="AD46" s="68">
        <f t="shared" si="5"/>
        <v>5.51</v>
      </c>
      <c r="AE46" s="68">
        <f t="shared" si="6"/>
        <v>0</v>
      </c>
      <c r="AF46" s="68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1" t="s">
        <v>405</v>
      </c>
      <c r="F47" s="95" t="s">
        <v>685</v>
      </c>
      <c r="K47" s="160">
        <v>1</v>
      </c>
      <c r="L47" s="159">
        <v>1</v>
      </c>
      <c r="P47" s="161">
        <v>1</v>
      </c>
      <c r="Q47" s="160">
        <v>1</v>
      </c>
      <c r="R47" s="159">
        <v>1</v>
      </c>
      <c r="T47" s="177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77">
        <v>55</v>
      </c>
      <c r="AC47" s="68">
        <f t="shared" si="4"/>
        <v>5.5270000000000001</v>
      </c>
      <c r="AD47" s="68">
        <f t="shared" si="5"/>
        <v>5.51</v>
      </c>
      <c r="AE47" s="68">
        <f t="shared" si="6"/>
        <v>2.0859999999999999</v>
      </c>
      <c r="AF47" s="68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1" t="s">
        <v>405</v>
      </c>
      <c r="F48" s="95" t="s">
        <v>685</v>
      </c>
      <c r="G48" s="161">
        <v>1</v>
      </c>
      <c r="J48" s="161">
        <v>1</v>
      </c>
      <c r="T48" s="177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77">
        <v>58</v>
      </c>
      <c r="AC48" s="68">
        <f t="shared" si="4"/>
        <v>11.054</v>
      </c>
      <c r="AD48" s="68">
        <f t="shared" si="5"/>
        <v>0</v>
      </c>
      <c r="AE48" s="68">
        <f t="shared" si="6"/>
        <v>0</v>
      </c>
      <c r="AF48" s="68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1" t="s">
        <v>405</v>
      </c>
      <c r="F49" s="95" t="s">
        <v>685</v>
      </c>
      <c r="H49" s="160">
        <v>1</v>
      </c>
      <c r="I49" s="159">
        <v>1</v>
      </c>
      <c r="L49" s="159">
        <v>1</v>
      </c>
      <c r="N49" s="160">
        <v>1</v>
      </c>
      <c r="O49" s="159">
        <v>1</v>
      </c>
      <c r="R49" s="159">
        <v>1</v>
      </c>
      <c r="T49" s="177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77">
        <v>50</v>
      </c>
      <c r="AC49" s="68">
        <f t="shared" si="4"/>
        <v>0</v>
      </c>
      <c r="AD49" s="68">
        <f t="shared" si="5"/>
        <v>5.51</v>
      </c>
      <c r="AE49" s="68">
        <f t="shared" si="6"/>
        <v>4.1719999999999997</v>
      </c>
      <c r="AF49" s="68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1" t="s">
        <v>405</v>
      </c>
      <c r="F50" s="95" t="s">
        <v>685</v>
      </c>
      <c r="G50" s="161">
        <v>1</v>
      </c>
      <c r="M50" s="161">
        <v>1</v>
      </c>
      <c r="T50" s="177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77">
        <v>65</v>
      </c>
      <c r="AC50" s="68">
        <f t="shared" si="4"/>
        <v>11.054</v>
      </c>
      <c r="AD50" s="68">
        <f t="shared" si="5"/>
        <v>0</v>
      </c>
      <c r="AE50" s="68">
        <f t="shared" si="6"/>
        <v>0</v>
      </c>
      <c r="AF50" s="68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1" t="s">
        <v>405</v>
      </c>
      <c r="F51" s="95" t="s">
        <v>685</v>
      </c>
      <c r="H51" s="160">
        <v>1</v>
      </c>
      <c r="I51" s="159">
        <v>1</v>
      </c>
      <c r="K51" s="160">
        <v>1</v>
      </c>
      <c r="L51" s="159">
        <v>1</v>
      </c>
      <c r="M51" s="161">
        <v>1</v>
      </c>
      <c r="T51" s="177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77">
        <v>50</v>
      </c>
      <c r="AC51" s="68">
        <f t="shared" si="4"/>
        <v>5.5270000000000001</v>
      </c>
      <c r="AD51" s="68">
        <f t="shared" si="5"/>
        <v>5.51</v>
      </c>
      <c r="AE51" s="68">
        <f t="shared" si="6"/>
        <v>2.0859999999999999</v>
      </c>
      <c r="AF51" s="68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1" t="s">
        <v>405</v>
      </c>
      <c r="F52" s="95" t="s">
        <v>685</v>
      </c>
      <c r="N52" s="160">
        <v>1</v>
      </c>
      <c r="O52" s="159">
        <v>1</v>
      </c>
      <c r="T52" s="177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77">
        <v>48</v>
      </c>
      <c r="AC52" s="68">
        <f t="shared" si="4"/>
        <v>0</v>
      </c>
      <c r="AD52" s="68">
        <f t="shared" si="5"/>
        <v>2.7549999999999999</v>
      </c>
      <c r="AE52" s="68">
        <f t="shared" si="6"/>
        <v>1.0429999999999999</v>
      </c>
      <c r="AF52" s="68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1" t="s">
        <v>405</v>
      </c>
      <c r="F53" s="95" t="s">
        <v>685</v>
      </c>
      <c r="G53" s="161">
        <v>1</v>
      </c>
      <c r="P53" s="161">
        <v>1</v>
      </c>
      <c r="T53" s="177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77">
        <v>40</v>
      </c>
      <c r="AC53" s="68">
        <f t="shared" si="4"/>
        <v>9.452</v>
      </c>
      <c r="AD53" s="68">
        <f t="shared" si="5"/>
        <v>0</v>
      </c>
      <c r="AE53" s="68">
        <f t="shared" si="6"/>
        <v>0</v>
      </c>
      <c r="AF53" s="68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1" t="s">
        <v>405</v>
      </c>
      <c r="F54" s="95" t="s">
        <v>685</v>
      </c>
      <c r="H54" s="160">
        <v>1</v>
      </c>
      <c r="I54" s="159">
        <v>1</v>
      </c>
      <c r="N54" s="160">
        <v>1</v>
      </c>
      <c r="O54" s="159">
        <v>1</v>
      </c>
      <c r="T54" s="177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77">
        <v>45</v>
      </c>
      <c r="AC54" s="68">
        <f t="shared" si="4"/>
        <v>0</v>
      </c>
      <c r="AD54" s="68">
        <f t="shared" si="5"/>
        <v>5.51</v>
      </c>
      <c r="AE54" s="68">
        <f t="shared" si="6"/>
        <v>2.0859999999999999</v>
      </c>
      <c r="AF54" s="68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1" t="s">
        <v>405</v>
      </c>
      <c r="F55" s="95" t="s">
        <v>685</v>
      </c>
      <c r="H55" s="160">
        <v>1</v>
      </c>
      <c r="I55" s="159">
        <v>1</v>
      </c>
      <c r="J55" s="161">
        <v>1</v>
      </c>
      <c r="M55" s="161">
        <v>1</v>
      </c>
      <c r="Q55" s="160">
        <v>1</v>
      </c>
      <c r="R55" s="159">
        <v>1</v>
      </c>
      <c r="T55" s="177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77">
        <v>50</v>
      </c>
      <c r="AC55" s="68">
        <f t="shared" si="4"/>
        <v>9.452</v>
      </c>
      <c r="AD55" s="68">
        <f t="shared" si="5"/>
        <v>5.51</v>
      </c>
      <c r="AE55" s="68">
        <f t="shared" si="6"/>
        <v>2.1080000000000001</v>
      </c>
      <c r="AF55" s="68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1" t="s">
        <v>405</v>
      </c>
      <c r="F56" s="95" t="s">
        <v>685</v>
      </c>
      <c r="M56" s="161">
        <v>1</v>
      </c>
      <c r="P56" s="161">
        <v>1</v>
      </c>
      <c r="T56" s="177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77">
        <v>50</v>
      </c>
      <c r="AC56" s="68">
        <f t="shared" si="4"/>
        <v>11.054</v>
      </c>
      <c r="AD56" s="68">
        <f t="shared" si="5"/>
        <v>0</v>
      </c>
      <c r="AE56" s="68">
        <f t="shared" si="6"/>
        <v>0</v>
      </c>
      <c r="AF56" s="68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1" t="s">
        <v>405</v>
      </c>
      <c r="F57" s="95" t="s">
        <v>685</v>
      </c>
      <c r="P57" s="161">
        <v>1</v>
      </c>
      <c r="Q57" s="160">
        <v>1</v>
      </c>
      <c r="R57" s="159">
        <v>1</v>
      </c>
      <c r="T57" s="177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77">
        <v>65</v>
      </c>
      <c r="AC57" s="68">
        <f t="shared" si="4"/>
        <v>5.5270000000000001</v>
      </c>
      <c r="AD57" s="68">
        <f t="shared" si="5"/>
        <v>2.7549999999999999</v>
      </c>
      <c r="AE57" s="68">
        <f t="shared" si="6"/>
        <v>1.0429999999999999</v>
      </c>
      <c r="AF57" s="68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1" t="s">
        <v>405</v>
      </c>
      <c r="F58" s="95" t="s">
        <v>685</v>
      </c>
      <c r="G58" s="161">
        <v>1</v>
      </c>
      <c r="N58" s="160">
        <v>1</v>
      </c>
      <c r="Q58" s="160">
        <v>1</v>
      </c>
      <c r="T58" s="177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77">
        <v>50</v>
      </c>
      <c r="AC58" s="68">
        <f t="shared" si="4"/>
        <v>5.5270000000000001</v>
      </c>
      <c r="AD58" s="68">
        <f t="shared" si="5"/>
        <v>5.51</v>
      </c>
      <c r="AE58" s="68">
        <f t="shared" si="6"/>
        <v>0</v>
      </c>
      <c r="AF58" s="68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1" t="s">
        <v>405</v>
      </c>
      <c r="F59" s="95" t="s">
        <v>685</v>
      </c>
      <c r="G59" s="161">
        <v>1</v>
      </c>
      <c r="P59" s="161">
        <v>1</v>
      </c>
      <c r="T59" s="177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77">
        <v>45</v>
      </c>
      <c r="AC59" s="68">
        <f t="shared" si="4"/>
        <v>9.452</v>
      </c>
      <c r="AD59" s="68">
        <f t="shared" si="5"/>
        <v>0</v>
      </c>
      <c r="AE59" s="68">
        <f t="shared" si="6"/>
        <v>0</v>
      </c>
      <c r="AF59" s="68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1" t="s">
        <v>405</v>
      </c>
      <c r="F60" s="95" t="s">
        <v>685</v>
      </c>
      <c r="O60" s="159">
        <v>1</v>
      </c>
      <c r="R60" s="159">
        <v>1</v>
      </c>
      <c r="T60" s="177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77">
        <v>50</v>
      </c>
      <c r="AC60" s="68">
        <f t="shared" si="4"/>
        <v>0</v>
      </c>
      <c r="AD60" s="68">
        <f t="shared" si="5"/>
        <v>0</v>
      </c>
      <c r="AE60" s="68">
        <f t="shared" si="6"/>
        <v>2.0859999999999999</v>
      </c>
      <c r="AF60" s="68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1" t="s">
        <v>405</v>
      </c>
      <c r="F61" s="95" t="s">
        <v>685</v>
      </c>
      <c r="H61" s="160">
        <v>1</v>
      </c>
      <c r="I61" s="159">
        <v>1</v>
      </c>
      <c r="J61" s="161">
        <v>1</v>
      </c>
      <c r="M61" s="161">
        <v>1</v>
      </c>
      <c r="Q61" s="160">
        <v>1</v>
      </c>
      <c r="R61" s="159">
        <v>1</v>
      </c>
      <c r="T61" s="177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77">
        <v>40</v>
      </c>
      <c r="AC61" s="68">
        <f t="shared" si="4"/>
        <v>9.452</v>
      </c>
      <c r="AD61" s="68">
        <f t="shared" si="5"/>
        <v>5.51</v>
      </c>
      <c r="AE61" s="68">
        <f t="shared" si="6"/>
        <v>2.1080000000000001</v>
      </c>
      <c r="AF61" s="68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1" t="s">
        <v>405</v>
      </c>
      <c r="F62" s="95" t="s">
        <v>685</v>
      </c>
      <c r="M62" s="161">
        <v>1</v>
      </c>
      <c r="P62" s="161">
        <v>1</v>
      </c>
      <c r="T62" s="177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78"/>
      <c r="AA62" s="177">
        <v>50</v>
      </c>
      <c r="AC62" s="68">
        <f t="shared" si="4"/>
        <v>11.054</v>
      </c>
      <c r="AD62" s="68">
        <f t="shared" si="5"/>
        <v>0</v>
      </c>
      <c r="AE62" s="68">
        <f t="shared" si="6"/>
        <v>0</v>
      </c>
      <c r="AF62" s="68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1" t="s">
        <v>405</v>
      </c>
      <c r="F63" s="95" t="s">
        <v>685</v>
      </c>
      <c r="H63" s="160">
        <v>1</v>
      </c>
      <c r="I63" s="159">
        <v>1</v>
      </c>
      <c r="J63" s="161">
        <v>1</v>
      </c>
      <c r="K63" s="160">
        <v>1</v>
      </c>
      <c r="L63" s="159">
        <v>1</v>
      </c>
      <c r="T63" s="177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77">
        <v>46</v>
      </c>
      <c r="AC63" s="68">
        <f t="shared" si="4"/>
        <v>5.5270000000000001</v>
      </c>
      <c r="AD63" s="68">
        <f t="shared" si="5"/>
        <v>5.51</v>
      </c>
      <c r="AE63" s="68">
        <f t="shared" si="6"/>
        <v>2.0859999999999999</v>
      </c>
      <c r="AF63" s="68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1" t="s">
        <v>405</v>
      </c>
      <c r="F64" s="95" t="s">
        <v>685</v>
      </c>
      <c r="N64" s="160">
        <v>1</v>
      </c>
      <c r="O64" s="159">
        <v>1</v>
      </c>
      <c r="Q64" s="160">
        <v>1</v>
      </c>
      <c r="R64" s="159">
        <v>1</v>
      </c>
      <c r="T64" s="177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78"/>
      <c r="AA64" s="177">
        <v>45</v>
      </c>
      <c r="AC64" s="68">
        <f t="shared" si="4"/>
        <v>0</v>
      </c>
      <c r="AD64" s="68">
        <f t="shared" si="5"/>
        <v>5.51</v>
      </c>
      <c r="AE64" s="68">
        <f t="shared" si="6"/>
        <v>2.0859999999999999</v>
      </c>
      <c r="AF64" s="68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1" t="s">
        <v>405</v>
      </c>
      <c r="F65" s="95" t="s">
        <v>685</v>
      </c>
      <c r="K65" s="160">
        <v>1</v>
      </c>
      <c r="L65" s="159">
        <v>1</v>
      </c>
      <c r="N65" s="160">
        <v>1</v>
      </c>
      <c r="O65" s="159">
        <v>1</v>
      </c>
      <c r="T65" s="177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77">
        <v>50</v>
      </c>
      <c r="AC65" s="68">
        <f t="shared" si="4"/>
        <v>0</v>
      </c>
      <c r="AD65" s="68">
        <f t="shared" si="5"/>
        <v>5.51</v>
      </c>
      <c r="AE65" s="68">
        <f t="shared" si="6"/>
        <v>2.1080000000000001</v>
      </c>
      <c r="AF65" s="68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1" t="s">
        <v>405</v>
      </c>
      <c r="F66" s="95" t="s">
        <v>685</v>
      </c>
      <c r="G66" s="161">
        <v>1</v>
      </c>
      <c r="H66" s="160">
        <v>1</v>
      </c>
      <c r="I66" s="159">
        <v>1</v>
      </c>
      <c r="J66" s="161">
        <v>1</v>
      </c>
      <c r="K66" s="160">
        <v>1</v>
      </c>
      <c r="L66" s="159">
        <v>1</v>
      </c>
      <c r="M66" s="161">
        <v>1</v>
      </c>
      <c r="T66" s="177">
        <v>50</v>
      </c>
      <c r="U66" s="3" t="s">
        <v>731</v>
      </c>
      <c r="V66" s="3" t="s">
        <v>739</v>
      </c>
      <c r="W66" s="177" t="s">
        <v>733</v>
      </c>
      <c r="X66" s="38">
        <f t="shared" si="9"/>
        <v>45478</v>
      </c>
      <c r="Y66" s="38">
        <f t="shared" si="10"/>
        <v>45506</v>
      </c>
      <c r="AA66" s="177">
        <v>50</v>
      </c>
      <c r="AC66" s="68">
        <f t="shared" si="4"/>
        <v>16.581</v>
      </c>
      <c r="AD66" s="68">
        <f t="shared" si="5"/>
        <v>5.51</v>
      </c>
      <c r="AE66" s="68">
        <f t="shared" si="6"/>
        <v>2.0859999999999999</v>
      </c>
      <c r="AF66" s="68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1" t="s">
        <v>405</v>
      </c>
      <c r="F67" s="95" t="s">
        <v>685</v>
      </c>
      <c r="G67" s="161">
        <v>1</v>
      </c>
      <c r="H67" s="160">
        <v>1</v>
      </c>
      <c r="J67" s="161">
        <v>1</v>
      </c>
      <c r="K67" s="160">
        <v>1</v>
      </c>
      <c r="M67" s="161">
        <v>1</v>
      </c>
      <c r="N67" s="160">
        <v>1</v>
      </c>
      <c r="P67" s="161">
        <v>1</v>
      </c>
      <c r="Q67" s="160">
        <v>1</v>
      </c>
      <c r="T67" s="177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77">
        <v>40</v>
      </c>
      <c r="AC67" s="68">
        <f t="shared" si="4"/>
        <v>22.108000000000001</v>
      </c>
      <c r="AD67" s="68">
        <f t="shared" si="5"/>
        <v>11.02</v>
      </c>
      <c r="AE67" s="68">
        <f t="shared" si="6"/>
        <v>0</v>
      </c>
      <c r="AF67" s="68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1" t="s">
        <v>405</v>
      </c>
      <c r="F68" s="95" t="s">
        <v>685</v>
      </c>
      <c r="G68" s="161">
        <v>1</v>
      </c>
      <c r="J68" s="161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68">
        <f t="shared" si="4"/>
        <v>11.054</v>
      </c>
      <c r="AD68" s="68">
        <f t="shared" si="5"/>
        <v>0</v>
      </c>
      <c r="AE68" s="68">
        <f t="shared" si="6"/>
        <v>0</v>
      </c>
      <c r="AF68" s="68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1" t="s">
        <v>405</v>
      </c>
      <c r="F69" s="95" t="s">
        <v>685</v>
      </c>
      <c r="N69" s="160">
        <v>1</v>
      </c>
      <c r="O69" s="159">
        <v>1</v>
      </c>
      <c r="P69" s="161">
        <v>1</v>
      </c>
      <c r="Q69" s="160">
        <v>1</v>
      </c>
      <c r="R69" s="159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68">
        <f t="shared" si="4"/>
        <v>5.5270000000000001</v>
      </c>
      <c r="AD69" s="68">
        <f t="shared" si="5"/>
        <v>5.51</v>
      </c>
      <c r="AE69" s="68">
        <f t="shared" si="6"/>
        <v>2.0859999999999999</v>
      </c>
      <c r="AF69" s="68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1" t="s">
        <v>405</v>
      </c>
      <c r="F70" s="95" t="s">
        <v>685</v>
      </c>
      <c r="I70" s="159">
        <v>1</v>
      </c>
      <c r="L70" s="159">
        <v>1</v>
      </c>
      <c r="O70" s="159">
        <v>1</v>
      </c>
      <c r="R70" s="159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68">
        <f t="shared" ref="AC70:AC103" si="11">(VLOOKUP($D70,$AH$4:$AK$40,2,FALSE))*(G70+J70+M70+P70)</f>
        <v>0</v>
      </c>
      <c r="AD70" s="68">
        <f t="shared" ref="AD70:AD103" si="12">(VLOOKUP($D70,$AH$4:$AK$40,3,FALSE))*(H70+K70+N70+Q70)</f>
        <v>0</v>
      </c>
      <c r="AE70" s="68">
        <f t="shared" ref="AE70:AE103" si="13">(VLOOKUP($D70,$AH$4:$AK$40,4,FALSE))*(I70+L70+O70+R70)</f>
        <v>4.1719999999999997</v>
      </c>
      <c r="AF70" s="68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1" t="s">
        <v>405</v>
      </c>
      <c r="F71" s="95" t="s">
        <v>685</v>
      </c>
      <c r="H71" s="160">
        <v>1</v>
      </c>
      <c r="I71" s="159">
        <v>1</v>
      </c>
      <c r="K71" s="160">
        <v>1</v>
      </c>
      <c r="L71" s="159">
        <v>1</v>
      </c>
      <c r="P71" s="161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68">
        <f t="shared" si="11"/>
        <v>5.5270000000000001</v>
      </c>
      <c r="AD71" s="68">
        <f t="shared" si="12"/>
        <v>5.51</v>
      </c>
      <c r="AE71" s="68">
        <f t="shared" si="13"/>
        <v>2.0859999999999999</v>
      </c>
      <c r="AF71" s="68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1" t="s">
        <v>405</v>
      </c>
      <c r="F72" s="95" t="s">
        <v>685</v>
      </c>
      <c r="P72" s="161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68">
        <f t="shared" si="11"/>
        <v>4.726</v>
      </c>
      <c r="AD72" s="68">
        <f t="shared" si="12"/>
        <v>0</v>
      </c>
      <c r="AE72" s="68">
        <f t="shared" si="13"/>
        <v>0</v>
      </c>
      <c r="AF72" s="68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1" t="s">
        <v>405</v>
      </c>
      <c r="F73" s="95" t="s">
        <v>685</v>
      </c>
      <c r="M73" s="161">
        <v>1</v>
      </c>
      <c r="Q73" s="160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68">
        <f t="shared" si="11"/>
        <v>5.5270000000000001</v>
      </c>
      <c r="AD73" s="68">
        <f t="shared" si="12"/>
        <v>2.7549999999999999</v>
      </c>
      <c r="AE73" s="68">
        <f t="shared" si="13"/>
        <v>0</v>
      </c>
      <c r="AF73" s="68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1" t="s">
        <v>405</v>
      </c>
      <c r="F74" s="95" t="s">
        <v>685</v>
      </c>
      <c r="G74" s="161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68">
        <f t="shared" si="11"/>
        <v>5.5270000000000001</v>
      </c>
      <c r="AD74" s="68">
        <f t="shared" si="12"/>
        <v>0</v>
      </c>
      <c r="AE74" s="68">
        <f t="shared" si="13"/>
        <v>0</v>
      </c>
      <c r="AF74" s="68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1" t="s">
        <v>405</v>
      </c>
      <c r="F75" s="95" t="s">
        <v>685</v>
      </c>
      <c r="G75" s="161">
        <v>1</v>
      </c>
      <c r="J75" s="161">
        <v>1</v>
      </c>
      <c r="M75" s="161">
        <v>1</v>
      </c>
      <c r="P75" s="161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68">
        <f t="shared" si="11"/>
        <v>18.904</v>
      </c>
      <c r="AD75" s="68">
        <f t="shared" si="12"/>
        <v>0</v>
      </c>
      <c r="AE75" s="68">
        <f t="shared" si="13"/>
        <v>0</v>
      </c>
      <c r="AF75" s="68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1" t="s">
        <v>405</v>
      </c>
      <c r="F76" s="95" t="s">
        <v>685</v>
      </c>
      <c r="G76" s="161">
        <v>1</v>
      </c>
      <c r="M76" s="161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68">
        <f t="shared" si="11"/>
        <v>9.452</v>
      </c>
      <c r="AD76" s="68">
        <f t="shared" si="12"/>
        <v>0</v>
      </c>
      <c r="AE76" s="68">
        <f t="shared" si="13"/>
        <v>0</v>
      </c>
      <c r="AF76" s="68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1" t="s">
        <v>405</v>
      </c>
      <c r="F77" s="95" t="s">
        <v>685</v>
      </c>
      <c r="N77" s="160">
        <v>1</v>
      </c>
      <c r="O77" s="159">
        <v>1</v>
      </c>
      <c r="R77" s="159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68">
        <f t="shared" si="11"/>
        <v>0</v>
      </c>
      <c r="AD77" s="68">
        <f t="shared" si="12"/>
        <v>2.7549999999999999</v>
      </c>
      <c r="AE77" s="68">
        <f t="shared" si="13"/>
        <v>2.0859999999999999</v>
      </c>
      <c r="AF77" s="68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1" t="s">
        <v>405</v>
      </c>
      <c r="F78" s="95" t="s">
        <v>685</v>
      </c>
      <c r="H78" s="160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68">
        <f t="shared" si="11"/>
        <v>0</v>
      </c>
      <c r="AD78" s="68">
        <f t="shared" si="12"/>
        <v>2.7549999999999999</v>
      </c>
      <c r="AE78" s="68">
        <f t="shared" si="13"/>
        <v>0</v>
      </c>
      <c r="AF78" s="68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1" t="s">
        <v>405</v>
      </c>
      <c r="F79" s="95" t="s">
        <v>685</v>
      </c>
      <c r="H79" s="160">
        <v>1</v>
      </c>
      <c r="I79" s="159">
        <v>1</v>
      </c>
      <c r="K79" s="160">
        <v>1</v>
      </c>
      <c r="L79" s="159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68">
        <f t="shared" si="11"/>
        <v>0</v>
      </c>
      <c r="AD79" s="68">
        <f t="shared" si="12"/>
        <v>5.51</v>
      </c>
      <c r="AE79" s="68">
        <f t="shared" si="13"/>
        <v>2.1080000000000001</v>
      </c>
      <c r="AF79" s="68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1" t="s">
        <v>405</v>
      </c>
      <c r="F80" s="95" t="s">
        <v>685</v>
      </c>
      <c r="H80" s="160">
        <v>1</v>
      </c>
      <c r="J80" s="161">
        <v>1</v>
      </c>
      <c r="N80" s="160">
        <v>1</v>
      </c>
      <c r="Q80" s="160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68">
        <f t="shared" si="11"/>
        <v>4.726</v>
      </c>
      <c r="AD80" s="68">
        <f t="shared" si="12"/>
        <v>8.2650000000000006</v>
      </c>
      <c r="AE80" s="68">
        <f t="shared" si="13"/>
        <v>0</v>
      </c>
      <c r="AF80" s="68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1" t="s">
        <v>405</v>
      </c>
      <c r="F81" s="95" t="s">
        <v>685</v>
      </c>
      <c r="I81" s="159">
        <v>1</v>
      </c>
      <c r="J81" s="161">
        <v>1</v>
      </c>
      <c r="K81" s="160">
        <v>1</v>
      </c>
      <c r="L81" s="159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68">
        <f t="shared" si="11"/>
        <v>5.5270000000000001</v>
      </c>
      <c r="AD81" s="68">
        <f t="shared" si="12"/>
        <v>2.7549999999999999</v>
      </c>
      <c r="AE81" s="68">
        <f t="shared" si="13"/>
        <v>2.0859999999999999</v>
      </c>
      <c r="AF81" s="68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1" t="s">
        <v>405</v>
      </c>
      <c r="F82" s="95" t="s">
        <v>685</v>
      </c>
      <c r="N82" s="160">
        <v>1</v>
      </c>
      <c r="O82" s="159">
        <v>1</v>
      </c>
      <c r="Q82" s="160">
        <v>1</v>
      </c>
      <c r="R82" s="159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68">
        <f t="shared" si="11"/>
        <v>0</v>
      </c>
      <c r="AD82" s="68">
        <f t="shared" si="12"/>
        <v>5.51</v>
      </c>
      <c r="AE82" s="68">
        <f t="shared" si="13"/>
        <v>2.1080000000000001</v>
      </c>
      <c r="AF82" s="68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1" t="s">
        <v>405</v>
      </c>
      <c r="F83" s="95" t="s">
        <v>685</v>
      </c>
      <c r="I83" s="159">
        <v>1</v>
      </c>
      <c r="K83" s="160">
        <v>1</v>
      </c>
      <c r="L83" s="159">
        <v>1</v>
      </c>
      <c r="O83" s="159">
        <v>1</v>
      </c>
      <c r="R83" s="159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68">
        <f t="shared" si="11"/>
        <v>0</v>
      </c>
      <c r="AD83" s="68">
        <f t="shared" si="12"/>
        <v>2.7549999999999999</v>
      </c>
      <c r="AE83" s="68">
        <f t="shared" si="13"/>
        <v>4.2160000000000002</v>
      </c>
      <c r="AF83" s="68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1" t="s">
        <v>405</v>
      </c>
      <c r="F84" s="95" t="s">
        <v>685</v>
      </c>
      <c r="K84" s="160">
        <v>1</v>
      </c>
      <c r="L84" s="159">
        <v>1</v>
      </c>
      <c r="N84" s="160">
        <v>1</v>
      </c>
      <c r="O84" s="159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68">
        <f t="shared" si="11"/>
        <v>0</v>
      </c>
      <c r="AD84" s="68">
        <f t="shared" si="12"/>
        <v>5.51</v>
      </c>
      <c r="AE84" s="68">
        <f t="shared" si="13"/>
        <v>2.1080000000000001</v>
      </c>
      <c r="AF84" s="68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1" t="s">
        <v>405</v>
      </c>
      <c r="F85" s="95" t="s">
        <v>685</v>
      </c>
      <c r="G85" s="161">
        <v>1</v>
      </c>
      <c r="J85" s="161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68">
        <f t="shared" si="11"/>
        <v>9.452</v>
      </c>
      <c r="AD85" s="68">
        <f t="shared" si="12"/>
        <v>0</v>
      </c>
      <c r="AE85" s="68">
        <f t="shared" si="13"/>
        <v>0</v>
      </c>
      <c r="AF85" s="68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1" t="s">
        <v>405</v>
      </c>
      <c r="F86" s="95" t="s">
        <v>685</v>
      </c>
      <c r="H86" s="160">
        <v>1</v>
      </c>
      <c r="K86" s="160">
        <v>1</v>
      </c>
      <c r="P86" s="161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68">
        <f t="shared" si="11"/>
        <v>4.726</v>
      </c>
      <c r="AD86" s="68">
        <f t="shared" si="12"/>
        <v>5.51</v>
      </c>
      <c r="AE86" s="68">
        <f t="shared" si="13"/>
        <v>0</v>
      </c>
      <c r="AF86" s="68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1" t="s">
        <v>405</v>
      </c>
      <c r="F87" s="95" t="s">
        <v>685</v>
      </c>
      <c r="G87" s="161">
        <v>1</v>
      </c>
      <c r="J87" s="161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68">
        <f t="shared" si="11"/>
        <v>11.054</v>
      </c>
      <c r="AD87" s="68">
        <f t="shared" si="12"/>
        <v>0</v>
      </c>
      <c r="AE87" s="68">
        <f t="shared" si="13"/>
        <v>0</v>
      </c>
      <c r="AF87" s="68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1" t="s">
        <v>405</v>
      </c>
      <c r="F88" s="95" t="s">
        <v>685</v>
      </c>
      <c r="M88" s="161">
        <v>1</v>
      </c>
      <c r="Q88" s="160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68">
        <f t="shared" si="11"/>
        <v>4.726</v>
      </c>
      <c r="AD88" s="68">
        <f t="shared" si="12"/>
        <v>2.7549999999999999</v>
      </c>
      <c r="AE88" s="68">
        <f t="shared" si="13"/>
        <v>0</v>
      </c>
      <c r="AF88" s="68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1" t="s">
        <v>405</v>
      </c>
      <c r="F89" s="95" t="s">
        <v>685</v>
      </c>
      <c r="K89" s="160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68">
        <f t="shared" si="11"/>
        <v>0</v>
      </c>
      <c r="AD89" s="68">
        <f t="shared" si="12"/>
        <v>2.7549999999999999</v>
      </c>
      <c r="AE89" s="68">
        <f t="shared" si="13"/>
        <v>0</v>
      </c>
      <c r="AF89" s="68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1" t="s">
        <v>405</v>
      </c>
      <c r="F90" s="95" t="s">
        <v>685</v>
      </c>
      <c r="G90" s="161">
        <v>1</v>
      </c>
      <c r="J90" s="161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68">
        <f t="shared" si="11"/>
        <v>9.452</v>
      </c>
      <c r="AD90" s="68">
        <f t="shared" si="12"/>
        <v>0</v>
      </c>
      <c r="AE90" s="68">
        <f t="shared" si="13"/>
        <v>0</v>
      </c>
      <c r="AF90" s="68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1" t="s">
        <v>405</v>
      </c>
      <c r="F91" s="95" t="s">
        <v>685</v>
      </c>
      <c r="I91" s="159">
        <v>1</v>
      </c>
      <c r="L91" s="159">
        <v>1</v>
      </c>
      <c r="N91" s="160">
        <v>1</v>
      </c>
      <c r="O91" s="159">
        <v>1</v>
      </c>
      <c r="R91" s="159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68">
        <f t="shared" si="11"/>
        <v>0</v>
      </c>
      <c r="AD91" s="68">
        <f t="shared" si="12"/>
        <v>2.7549999999999999</v>
      </c>
      <c r="AE91" s="68">
        <f t="shared" si="13"/>
        <v>4.2160000000000002</v>
      </c>
      <c r="AF91" s="68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1" t="s">
        <v>405</v>
      </c>
      <c r="F92" s="95" t="s">
        <v>685</v>
      </c>
      <c r="H92" s="160">
        <v>1</v>
      </c>
      <c r="I92" s="159">
        <v>1</v>
      </c>
      <c r="L92" s="159">
        <v>1</v>
      </c>
      <c r="M92" s="161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68">
        <f t="shared" si="11"/>
        <v>5.5270000000000001</v>
      </c>
      <c r="AD92" s="68">
        <f t="shared" si="12"/>
        <v>2.7549999999999999</v>
      </c>
      <c r="AE92" s="68">
        <f t="shared" si="13"/>
        <v>2.0859999999999999</v>
      </c>
      <c r="AF92" s="68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1" t="s">
        <v>405</v>
      </c>
      <c r="F93" s="95" t="s">
        <v>685</v>
      </c>
      <c r="H93" s="160">
        <v>1</v>
      </c>
      <c r="I93" s="159">
        <v>1</v>
      </c>
      <c r="K93" s="160">
        <v>1</v>
      </c>
      <c r="L93" s="159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68">
        <f t="shared" si="11"/>
        <v>0</v>
      </c>
      <c r="AD93" s="68">
        <f t="shared" si="12"/>
        <v>5.51</v>
      </c>
      <c r="AE93" s="68">
        <f t="shared" si="13"/>
        <v>2.1080000000000001</v>
      </c>
      <c r="AF93" s="68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1" t="s">
        <v>405</v>
      </c>
      <c r="F94" s="95" t="s">
        <v>685</v>
      </c>
      <c r="G94" s="161">
        <v>1</v>
      </c>
      <c r="P94" s="161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68">
        <f t="shared" si="11"/>
        <v>9.452</v>
      </c>
      <c r="AD94" s="68">
        <f t="shared" si="12"/>
        <v>0</v>
      </c>
      <c r="AE94" s="68">
        <f t="shared" si="13"/>
        <v>0</v>
      </c>
      <c r="AF94" s="68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1" t="s">
        <v>405</v>
      </c>
      <c r="F95" s="95" t="s">
        <v>685</v>
      </c>
      <c r="P95" s="161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68">
        <f t="shared" si="11"/>
        <v>5.5270000000000001</v>
      </c>
      <c r="AD95" s="68">
        <f t="shared" si="12"/>
        <v>0</v>
      </c>
      <c r="AE95" s="68">
        <f t="shared" si="13"/>
        <v>0</v>
      </c>
      <c r="AF95" s="68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1" t="s">
        <v>405</v>
      </c>
      <c r="F96" s="95" t="s">
        <v>685</v>
      </c>
      <c r="M96" s="161">
        <v>1</v>
      </c>
      <c r="P96" s="161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68">
        <f t="shared" si="11"/>
        <v>9.452</v>
      </c>
      <c r="AD96" s="68">
        <f t="shared" si="12"/>
        <v>0</v>
      </c>
      <c r="AE96" s="68">
        <f t="shared" si="13"/>
        <v>0</v>
      </c>
      <c r="AF96" s="68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1" t="s">
        <v>405</v>
      </c>
      <c r="F97" s="95" t="s">
        <v>685</v>
      </c>
      <c r="H97" s="160">
        <v>1</v>
      </c>
      <c r="I97" s="159">
        <v>1</v>
      </c>
      <c r="Q97" s="160">
        <v>1</v>
      </c>
      <c r="R97" s="159">
        <v>1</v>
      </c>
      <c r="X97" s="38">
        <f t="shared" si="17"/>
        <v>45491</v>
      </c>
      <c r="Y97" s="38">
        <f t="shared" si="18"/>
        <v>45519</v>
      </c>
      <c r="AC97" s="68">
        <f t="shared" si="11"/>
        <v>0</v>
      </c>
      <c r="AD97" s="68">
        <f t="shared" si="12"/>
        <v>5.51</v>
      </c>
      <c r="AE97" s="68">
        <f t="shared" si="13"/>
        <v>2.1080000000000001</v>
      </c>
      <c r="AF97" s="68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1" t="s">
        <v>405</v>
      </c>
      <c r="F98" s="95" t="s">
        <v>685</v>
      </c>
      <c r="N98" s="160">
        <v>1</v>
      </c>
      <c r="O98" s="159">
        <v>1</v>
      </c>
      <c r="Q98" s="160">
        <v>1</v>
      </c>
      <c r="R98" s="159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68">
        <f t="shared" si="11"/>
        <v>0</v>
      </c>
      <c r="AD98" s="68">
        <f t="shared" si="12"/>
        <v>5.51</v>
      </c>
      <c r="AE98" s="68">
        <f t="shared" si="13"/>
        <v>2.1080000000000001</v>
      </c>
      <c r="AF98" s="68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1" t="s">
        <v>405</v>
      </c>
      <c r="F99" s="95" t="s">
        <v>685</v>
      </c>
      <c r="J99" s="161">
        <v>1</v>
      </c>
      <c r="M99" s="161">
        <v>1</v>
      </c>
      <c r="X99" s="38">
        <f t="shared" si="17"/>
        <v>45492</v>
      </c>
      <c r="Y99" s="38">
        <f t="shared" si="18"/>
        <v>45520</v>
      </c>
      <c r="AC99" s="68">
        <f t="shared" si="11"/>
        <v>9.452</v>
      </c>
      <c r="AD99" s="68">
        <f t="shared" si="12"/>
        <v>0</v>
      </c>
      <c r="AE99" s="68">
        <f t="shared" si="13"/>
        <v>0</v>
      </c>
      <c r="AF99" s="68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1" t="s">
        <v>405</v>
      </c>
      <c r="F100" s="95" t="s">
        <v>685</v>
      </c>
      <c r="N100" s="160">
        <v>1</v>
      </c>
      <c r="O100" s="159">
        <v>1</v>
      </c>
      <c r="Q100" s="160">
        <v>1</v>
      </c>
      <c r="R100" s="159">
        <v>1</v>
      </c>
      <c r="X100" s="38">
        <f t="shared" si="17"/>
        <v>45492</v>
      </c>
      <c r="Y100" s="38">
        <f t="shared" si="18"/>
        <v>45520</v>
      </c>
      <c r="AC100" s="68">
        <f t="shared" si="11"/>
        <v>0</v>
      </c>
      <c r="AD100" s="68">
        <f t="shared" si="12"/>
        <v>5.51</v>
      </c>
      <c r="AE100" s="68">
        <f t="shared" si="13"/>
        <v>2.0859999999999999</v>
      </c>
      <c r="AF100" s="68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1" t="s">
        <v>405</v>
      </c>
      <c r="F101" s="95" t="s">
        <v>311</v>
      </c>
      <c r="G101" s="161">
        <v>1</v>
      </c>
      <c r="H101" s="160">
        <v>1</v>
      </c>
      <c r="P101" s="161">
        <v>1</v>
      </c>
      <c r="Q101" s="160">
        <v>1</v>
      </c>
      <c r="X101" s="38">
        <f t="shared" si="17"/>
        <v>45492</v>
      </c>
      <c r="Y101" s="38">
        <f t="shared" si="18"/>
        <v>45520</v>
      </c>
      <c r="AC101" s="68">
        <f t="shared" si="11"/>
        <v>11.054</v>
      </c>
      <c r="AD101" s="68">
        <f t="shared" si="12"/>
        <v>5.51</v>
      </c>
      <c r="AE101" s="68">
        <f t="shared" si="13"/>
        <v>0</v>
      </c>
      <c r="AF101" s="68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1" t="s">
        <v>405</v>
      </c>
      <c r="F102" s="95" t="s">
        <v>685</v>
      </c>
      <c r="K102" s="160">
        <v>1</v>
      </c>
      <c r="L102" s="159">
        <v>1</v>
      </c>
      <c r="N102" s="160">
        <v>1</v>
      </c>
      <c r="O102" s="159">
        <v>1</v>
      </c>
      <c r="X102" s="38">
        <f t="shared" si="17"/>
        <v>45493</v>
      </c>
      <c r="Y102" s="38">
        <f t="shared" si="18"/>
        <v>45521</v>
      </c>
      <c r="AC102" s="68">
        <f t="shared" si="11"/>
        <v>0</v>
      </c>
      <c r="AD102" s="68">
        <f t="shared" si="12"/>
        <v>5.51</v>
      </c>
      <c r="AE102" s="68">
        <f t="shared" si="13"/>
        <v>2.1080000000000001</v>
      </c>
      <c r="AF102" s="68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1" t="s">
        <v>405</v>
      </c>
      <c r="F103" s="95" t="s">
        <v>311</v>
      </c>
      <c r="X103" s="38">
        <f t="shared" si="17"/>
        <v>45494</v>
      </c>
      <c r="Y103" s="38">
        <f t="shared" si="18"/>
        <v>45522</v>
      </c>
      <c r="AC103" s="68">
        <f t="shared" si="11"/>
        <v>0</v>
      </c>
      <c r="AD103" s="68">
        <f t="shared" si="12"/>
        <v>0</v>
      </c>
      <c r="AE103" s="68">
        <f t="shared" si="13"/>
        <v>0</v>
      </c>
      <c r="AF103" s="68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1" t="s">
        <v>405</v>
      </c>
      <c r="F104" s="95" t="s">
        <v>685</v>
      </c>
      <c r="P104" s="161">
        <v>1</v>
      </c>
      <c r="Q104" s="160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1" t="s">
        <v>405</v>
      </c>
      <c r="F105" s="95" t="s">
        <v>685</v>
      </c>
      <c r="G105" s="161">
        <v>1</v>
      </c>
      <c r="P105" s="161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1" t="s">
        <v>405</v>
      </c>
      <c r="F106" s="95" t="s">
        <v>685</v>
      </c>
      <c r="M106" s="161">
        <v>1</v>
      </c>
      <c r="P106" s="161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1" t="s">
        <v>405</v>
      </c>
      <c r="F107" s="95" t="s">
        <v>311</v>
      </c>
      <c r="I107" s="159">
        <v>1</v>
      </c>
      <c r="M107" s="161">
        <v>1</v>
      </c>
      <c r="N107" s="160">
        <v>1</v>
      </c>
      <c r="R107" s="159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1" t="s">
        <v>405</v>
      </c>
      <c r="F108" s="95" t="s">
        <v>685</v>
      </c>
      <c r="G108" s="161">
        <v>1</v>
      </c>
      <c r="N108" s="160">
        <v>1</v>
      </c>
      <c r="Q108" s="160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1" t="s">
        <v>405</v>
      </c>
      <c r="F109" s="95" t="s">
        <v>685</v>
      </c>
      <c r="J109" s="161">
        <v>1</v>
      </c>
      <c r="K109" s="160">
        <v>1</v>
      </c>
      <c r="L109" s="159">
        <v>1</v>
      </c>
      <c r="O109" s="159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1" t="s">
        <v>405</v>
      </c>
      <c r="F110" s="95" t="s">
        <v>685</v>
      </c>
      <c r="G110" s="161">
        <v>1</v>
      </c>
      <c r="M110" s="161">
        <v>1</v>
      </c>
      <c r="N110" s="160">
        <v>1</v>
      </c>
      <c r="R110" s="159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1" t="s">
        <v>405</v>
      </c>
      <c r="F111" s="95" t="s">
        <v>685</v>
      </c>
      <c r="H111" s="160">
        <v>1</v>
      </c>
      <c r="I111" s="159">
        <v>1</v>
      </c>
      <c r="J111" s="161">
        <v>1</v>
      </c>
      <c r="Q111" s="160">
        <v>1</v>
      </c>
      <c r="R111" s="159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1" t="s">
        <v>405</v>
      </c>
      <c r="F112" s="95" t="s">
        <v>685</v>
      </c>
      <c r="H112" s="160">
        <v>1</v>
      </c>
      <c r="I112" s="159">
        <v>1</v>
      </c>
      <c r="J112" s="161">
        <v>1</v>
      </c>
      <c r="O112" s="159">
        <v>1</v>
      </c>
      <c r="R112" s="159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1" t="s">
        <v>405</v>
      </c>
      <c r="F113" s="95" t="s">
        <v>685</v>
      </c>
      <c r="H113" s="160">
        <v>1</v>
      </c>
      <c r="I113" s="159">
        <v>1</v>
      </c>
      <c r="O113" s="159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1" t="s">
        <v>405</v>
      </c>
      <c r="F114" s="95" t="s">
        <v>685</v>
      </c>
      <c r="K114" s="160">
        <v>1</v>
      </c>
      <c r="M114" s="161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1" t="s">
        <v>405</v>
      </c>
      <c r="F115" s="95" t="s">
        <v>685</v>
      </c>
      <c r="K115" s="160">
        <v>1</v>
      </c>
      <c r="L115" s="159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1" t="s">
        <v>405</v>
      </c>
      <c r="F116" s="95" t="s">
        <v>685</v>
      </c>
      <c r="J116" s="161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1" t="s">
        <v>405</v>
      </c>
      <c r="F117" s="95" t="s">
        <v>685</v>
      </c>
      <c r="J117" s="161">
        <v>1</v>
      </c>
      <c r="K117" s="160">
        <v>1</v>
      </c>
      <c r="L117" s="159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1" t="s">
        <v>405</v>
      </c>
      <c r="F118" s="95" t="s">
        <v>685</v>
      </c>
      <c r="L118" s="159">
        <v>1</v>
      </c>
      <c r="N118" s="160">
        <v>1</v>
      </c>
      <c r="O118" s="159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1" t="s">
        <v>405</v>
      </c>
      <c r="F119" s="95" t="s">
        <v>685</v>
      </c>
      <c r="G119" s="161">
        <v>1</v>
      </c>
      <c r="K119" s="160">
        <v>1</v>
      </c>
      <c r="P119" s="161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1" t="s">
        <v>405</v>
      </c>
      <c r="F120" s="95" t="s">
        <v>685</v>
      </c>
      <c r="G120" s="161">
        <v>1</v>
      </c>
      <c r="J120" s="161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1" t="s">
        <v>405</v>
      </c>
      <c r="F121" s="95" t="s">
        <v>685</v>
      </c>
      <c r="H121" s="160">
        <v>1</v>
      </c>
      <c r="I121" s="159">
        <v>1</v>
      </c>
      <c r="L121" s="159">
        <v>1</v>
      </c>
      <c r="Q121" s="160">
        <v>1</v>
      </c>
      <c r="R121" s="159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1" t="s">
        <v>405</v>
      </c>
      <c r="F122" s="95" t="s">
        <v>685</v>
      </c>
      <c r="M122" s="161">
        <v>1</v>
      </c>
      <c r="P122" s="161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1" t="s">
        <v>405</v>
      </c>
      <c r="F123" s="95" t="s">
        <v>685</v>
      </c>
      <c r="G123" s="161">
        <v>1</v>
      </c>
      <c r="P123" s="161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1" t="s">
        <v>405</v>
      </c>
      <c r="F124" s="95" t="s">
        <v>685</v>
      </c>
      <c r="M124" s="161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1" t="s">
        <v>405</v>
      </c>
      <c r="F125" s="95" t="s">
        <v>685</v>
      </c>
      <c r="H125" s="160">
        <v>1</v>
      </c>
      <c r="K125" s="160">
        <v>1</v>
      </c>
      <c r="N125" s="160">
        <v>1</v>
      </c>
      <c r="Q125" s="160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1" t="s">
        <v>405</v>
      </c>
      <c r="F126" s="95" t="s">
        <v>685</v>
      </c>
      <c r="H126" s="160">
        <v>1</v>
      </c>
      <c r="Q126" s="160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1" t="s">
        <v>405</v>
      </c>
      <c r="F127" s="95" t="s">
        <v>685</v>
      </c>
      <c r="N127" s="160">
        <v>1</v>
      </c>
      <c r="O127" s="159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1" t="s">
        <v>405</v>
      </c>
      <c r="F128" s="95" t="s">
        <v>685</v>
      </c>
      <c r="I128" s="159">
        <v>1</v>
      </c>
      <c r="L128" s="159">
        <v>1</v>
      </c>
      <c r="O128" s="159">
        <v>1</v>
      </c>
      <c r="R128" s="159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1" t="s">
        <v>405</v>
      </c>
      <c r="F129" s="95" t="s">
        <v>685</v>
      </c>
      <c r="I129" s="159">
        <v>1</v>
      </c>
      <c r="J129" s="161">
        <v>1</v>
      </c>
      <c r="M129" s="161">
        <v>1</v>
      </c>
      <c r="R129" s="159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1" t="s">
        <v>405</v>
      </c>
      <c r="F130" s="95" t="s">
        <v>685</v>
      </c>
      <c r="J130" s="161">
        <v>1</v>
      </c>
      <c r="M130" s="161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1" t="s">
        <v>405</v>
      </c>
      <c r="F131" s="95" t="s">
        <v>685</v>
      </c>
      <c r="G131" s="161">
        <v>1</v>
      </c>
      <c r="P131" s="161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1" t="s">
        <v>405</v>
      </c>
      <c r="F132" s="95" t="s">
        <v>685</v>
      </c>
      <c r="K132" s="160">
        <v>1</v>
      </c>
      <c r="N132" s="160">
        <v>1</v>
      </c>
      <c r="O132" s="159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3" t="s">
        <v>164</v>
      </c>
      <c r="D133" s="3" t="str">
        <f>VLOOKUP(C133,'Location Summary'!$C$4:$D$602,2,0)</f>
        <v>DA+3</v>
      </c>
      <c r="E133" s="121" t="s">
        <v>405</v>
      </c>
      <c r="F133" s="95" t="s">
        <v>685</v>
      </c>
      <c r="H133" s="160">
        <v>1</v>
      </c>
      <c r="I133" s="159">
        <v>1</v>
      </c>
      <c r="K133" s="160">
        <v>1</v>
      </c>
      <c r="L133" s="159">
        <v>1</v>
      </c>
      <c r="N133" s="160">
        <v>1</v>
      </c>
      <c r="O133" s="159">
        <v>1</v>
      </c>
      <c r="Q133" s="160">
        <v>1</v>
      </c>
      <c r="R133" s="159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1" t="s">
        <v>405</v>
      </c>
      <c r="F134" s="95" t="s">
        <v>685</v>
      </c>
      <c r="G134" s="161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1" t="s">
        <v>405</v>
      </c>
      <c r="F135" s="95" t="s">
        <v>685</v>
      </c>
      <c r="L135" s="159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1" t="s">
        <v>405</v>
      </c>
      <c r="F136" s="95" t="s">
        <v>685</v>
      </c>
      <c r="M136" s="161">
        <v>1</v>
      </c>
      <c r="P136" s="161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1" t="s">
        <v>405</v>
      </c>
      <c r="F137" s="95" t="s">
        <v>685</v>
      </c>
      <c r="G137" s="161">
        <v>1</v>
      </c>
      <c r="J137" s="161">
        <v>1</v>
      </c>
      <c r="P137" s="161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1" t="s">
        <v>405</v>
      </c>
      <c r="F138" s="95" t="s">
        <v>685</v>
      </c>
      <c r="M138" s="161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1" t="s">
        <v>405</v>
      </c>
      <c r="F139" s="95" t="s">
        <v>685</v>
      </c>
      <c r="H139" s="160">
        <v>1</v>
      </c>
      <c r="I139" s="159">
        <v>1</v>
      </c>
      <c r="J139" s="161">
        <v>1</v>
      </c>
      <c r="N139" s="160">
        <v>1</v>
      </c>
      <c r="O139" s="159">
        <v>1</v>
      </c>
      <c r="Q139" s="160">
        <v>1</v>
      </c>
      <c r="R139" s="159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1" t="s">
        <v>405</v>
      </c>
      <c r="F140" s="95" t="s">
        <v>685</v>
      </c>
      <c r="H140" s="160">
        <v>1</v>
      </c>
      <c r="I140" s="159">
        <v>1</v>
      </c>
      <c r="K140" s="160">
        <v>1</v>
      </c>
      <c r="L140" s="159">
        <v>1</v>
      </c>
      <c r="M140" s="161">
        <v>1</v>
      </c>
      <c r="N140" s="160">
        <v>1</v>
      </c>
      <c r="O140" s="159">
        <v>1</v>
      </c>
      <c r="Q140" s="160">
        <v>1</v>
      </c>
      <c r="R140" s="159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1" t="s">
        <v>405</v>
      </c>
      <c r="F141" s="95" t="s">
        <v>685</v>
      </c>
      <c r="K141" s="160">
        <v>1</v>
      </c>
      <c r="L141" s="159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1" t="s">
        <v>405</v>
      </c>
      <c r="F142" s="95" t="s">
        <v>685</v>
      </c>
      <c r="G142" s="161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1" t="s">
        <v>405</v>
      </c>
      <c r="F143" s="95" t="s">
        <v>685</v>
      </c>
      <c r="G143" s="161">
        <v>1</v>
      </c>
      <c r="J143" s="161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1" t="s">
        <v>405</v>
      </c>
      <c r="F144" s="95" t="s">
        <v>685</v>
      </c>
      <c r="H144" s="160">
        <v>1</v>
      </c>
      <c r="P144" s="161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1" t="s">
        <v>405</v>
      </c>
      <c r="F145" s="95" t="s">
        <v>685</v>
      </c>
      <c r="I145" s="159">
        <v>1</v>
      </c>
      <c r="K145" s="160">
        <v>1</v>
      </c>
      <c r="M145" s="161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1" t="s">
        <v>405</v>
      </c>
      <c r="F146" s="95" t="s">
        <v>685</v>
      </c>
      <c r="G146" s="161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1" t="s">
        <v>405</v>
      </c>
      <c r="F147" s="95" t="s">
        <v>685</v>
      </c>
      <c r="L147" s="159">
        <v>1</v>
      </c>
      <c r="Q147" s="160">
        <v>1</v>
      </c>
      <c r="R147" s="159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1" t="s">
        <v>405</v>
      </c>
      <c r="F148" s="95" t="s">
        <v>685</v>
      </c>
      <c r="H148" s="160">
        <v>1</v>
      </c>
      <c r="I148" s="159">
        <v>1</v>
      </c>
      <c r="P148" s="161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1" t="s">
        <v>405</v>
      </c>
      <c r="F149" s="95" t="s">
        <v>685</v>
      </c>
      <c r="G149" s="161">
        <v>1</v>
      </c>
      <c r="J149" s="161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1" t="s">
        <v>405</v>
      </c>
      <c r="F150" s="95" t="s">
        <v>685</v>
      </c>
      <c r="J150" s="161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14">
        <v>45511</v>
      </c>
      <c r="C151" s="117" t="s">
        <v>461</v>
      </c>
      <c r="D151" s="3" t="str">
        <f>VLOOKUP(C151,'Location Summary'!$C$4:$D$602,2,0)</f>
        <v>DA+9</v>
      </c>
      <c r="E151" s="270" t="s">
        <v>405</v>
      </c>
      <c r="F151" s="271" t="s">
        <v>685</v>
      </c>
      <c r="N151" s="160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4">
        <v>45511</v>
      </c>
      <c r="C152" s="117" t="s">
        <v>902</v>
      </c>
      <c r="D152" s="3" t="str">
        <f>VLOOKUP(C152,'Location Summary'!$C$4:$D$602,2,0)</f>
        <v>DA+6</v>
      </c>
      <c r="E152" s="270" t="s">
        <v>405</v>
      </c>
      <c r="F152" s="271" t="s">
        <v>685</v>
      </c>
      <c r="J152" s="161">
        <v>1</v>
      </c>
      <c r="M152" s="161">
        <v>1</v>
      </c>
      <c r="Q152" s="160">
        <v>1</v>
      </c>
      <c r="R152" s="159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14">
        <v>45511</v>
      </c>
      <c r="C153" s="117" t="s">
        <v>906</v>
      </c>
      <c r="D153" s="3" t="str">
        <f>VLOOKUP(C153,'Location Summary'!$C$4:$D$602,2,0)</f>
        <v>DA+9</v>
      </c>
      <c r="E153" s="270" t="s">
        <v>405</v>
      </c>
      <c r="F153" s="271" t="s">
        <v>685</v>
      </c>
      <c r="H153" s="160">
        <v>1</v>
      </c>
      <c r="I153" s="159">
        <v>1</v>
      </c>
      <c r="K153" s="160">
        <v>1</v>
      </c>
      <c r="L153" s="159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14">
        <v>45511</v>
      </c>
      <c r="C154" s="117" t="s">
        <v>478</v>
      </c>
      <c r="D154" s="3" t="str">
        <f>VLOOKUP(C154,'Location Summary'!$C$4:$D$602,2,0)</f>
        <v>DA-3</v>
      </c>
      <c r="E154" s="270" t="s">
        <v>405</v>
      </c>
      <c r="F154" s="271" t="s">
        <v>685</v>
      </c>
      <c r="H154" s="160">
        <v>1</v>
      </c>
      <c r="I154" s="159">
        <v>1</v>
      </c>
      <c r="N154" s="160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14">
        <v>45512</v>
      </c>
      <c r="C155" s="117" t="s">
        <v>461</v>
      </c>
      <c r="D155" s="3" t="str">
        <f>VLOOKUP(C155,'Location Summary'!$C$4:$D$602,2,0)</f>
        <v>DA+9</v>
      </c>
      <c r="E155" s="270" t="s">
        <v>405</v>
      </c>
      <c r="F155" s="271" t="s">
        <v>685</v>
      </c>
      <c r="O155" s="159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14">
        <v>45512</v>
      </c>
      <c r="C156" s="117" t="s">
        <v>902</v>
      </c>
      <c r="D156" s="3" t="str">
        <f>VLOOKUP(C156,'Location Summary'!$C$4:$D$602,2,0)</f>
        <v>DA+6</v>
      </c>
      <c r="E156" s="270" t="s">
        <v>405</v>
      </c>
      <c r="F156" s="271" t="s">
        <v>685</v>
      </c>
      <c r="K156" s="160">
        <v>1</v>
      </c>
      <c r="L156" s="159">
        <v>1</v>
      </c>
      <c r="N156" s="160">
        <v>1</v>
      </c>
      <c r="O156" s="159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14">
        <v>45513</v>
      </c>
      <c r="C157" s="117" t="s">
        <v>478</v>
      </c>
      <c r="D157" s="3" t="str">
        <f>VLOOKUP(C157,'Location Summary'!$C$4:$D$602,2,0)</f>
        <v>DA-3</v>
      </c>
      <c r="E157" s="270" t="s">
        <v>405</v>
      </c>
      <c r="F157" s="271" t="s">
        <v>685</v>
      </c>
      <c r="K157" s="160">
        <v>1</v>
      </c>
      <c r="O157" s="159">
        <v>1</v>
      </c>
      <c r="P157" s="161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4">
        <v>45513</v>
      </c>
      <c r="C158" s="117" t="s">
        <v>401</v>
      </c>
      <c r="D158" s="3" t="str">
        <f>VLOOKUP(C158,'Location Summary'!$C$4:$D$602,2,0)</f>
        <v>DA+0</v>
      </c>
      <c r="E158" s="270" t="s">
        <v>405</v>
      </c>
      <c r="F158" s="271" t="s">
        <v>685</v>
      </c>
      <c r="G158" s="161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14">
        <v>45514</v>
      </c>
      <c r="C159" s="117" t="s">
        <v>462</v>
      </c>
      <c r="D159" s="3" t="str">
        <f>VLOOKUP(C159,'Location Summary'!$C$4:$D$602,2,0)</f>
        <v>DA-1.5</v>
      </c>
      <c r="E159" s="270" t="s">
        <v>405</v>
      </c>
      <c r="F159" s="271" t="s">
        <v>685</v>
      </c>
      <c r="G159" s="161">
        <v>1</v>
      </c>
      <c r="J159" s="161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14">
        <v>45514</v>
      </c>
      <c r="C160" s="117" t="s">
        <v>478</v>
      </c>
      <c r="D160" s="3" t="str">
        <f>VLOOKUP(C160,'Location Summary'!$C$4:$D$602,2,0)</f>
        <v>DA-3</v>
      </c>
      <c r="E160" s="270" t="s">
        <v>405</v>
      </c>
      <c r="F160" s="271" t="s">
        <v>685</v>
      </c>
      <c r="L160" s="159">
        <v>1</v>
      </c>
      <c r="Q160" s="160">
        <v>1</v>
      </c>
      <c r="R160" s="159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14">
        <v>45514</v>
      </c>
      <c r="C161" s="117" t="s">
        <v>401</v>
      </c>
      <c r="D161" s="3" t="str">
        <f>VLOOKUP(C161,'Location Summary'!$C$4:$D$602,2,0)</f>
        <v>DA+0</v>
      </c>
      <c r="E161" s="270" t="s">
        <v>405</v>
      </c>
      <c r="F161" s="271" t="s">
        <v>685</v>
      </c>
      <c r="H161" s="160">
        <v>1</v>
      </c>
      <c r="M161" s="161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14">
        <v>45515</v>
      </c>
      <c r="C162" s="117" t="s">
        <v>401</v>
      </c>
      <c r="D162" s="3" t="str">
        <f>VLOOKUP(C162,'Location Summary'!$C$4:$D$602,2,0)</f>
        <v>DA+0</v>
      </c>
      <c r="E162" s="270" t="s">
        <v>405</v>
      </c>
      <c r="F162" s="271" t="s">
        <v>685</v>
      </c>
      <c r="I162" s="159">
        <v>1</v>
      </c>
      <c r="J162" s="161">
        <v>1</v>
      </c>
      <c r="N162" s="160">
        <v>1</v>
      </c>
      <c r="P162" s="161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14">
        <v>45515</v>
      </c>
      <c r="C163" s="117" t="s">
        <v>155</v>
      </c>
      <c r="D163" s="3" t="str">
        <f>VLOOKUP(C163,'Location Summary'!$C$4:$D$602,2,0)</f>
        <v>DA+1.5</v>
      </c>
      <c r="E163" s="270" t="s">
        <v>405</v>
      </c>
      <c r="F163" s="271" t="s">
        <v>685</v>
      </c>
      <c r="M163" s="161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14">
        <v>45515</v>
      </c>
      <c r="C164" s="117" t="s">
        <v>901</v>
      </c>
      <c r="D164" s="3" t="str">
        <f>VLOOKUP(C164,'Location Summary'!$C$4:$D$602,2,0)</f>
        <v>DA+6</v>
      </c>
      <c r="E164" s="270" t="s">
        <v>405</v>
      </c>
      <c r="F164" s="271" t="s">
        <v>685</v>
      </c>
      <c r="M164" s="161">
        <v>1</v>
      </c>
      <c r="P164" s="161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14">
        <v>45516</v>
      </c>
      <c r="C165" s="117" t="s">
        <v>462</v>
      </c>
      <c r="D165" s="3" t="str">
        <f>VLOOKUP(C165,'Location Summary'!$C$4:$D$602,2,0)</f>
        <v>DA-1.5</v>
      </c>
      <c r="E165" s="270" t="s">
        <v>405</v>
      </c>
      <c r="F165" s="271" t="s">
        <v>685</v>
      </c>
      <c r="H165" s="160">
        <v>1</v>
      </c>
      <c r="K165" s="160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14">
        <v>45516</v>
      </c>
      <c r="C166" s="117" t="s">
        <v>401</v>
      </c>
      <c r="D166" s="3" t="str">
        <f>VLOOKUP(C166,'Location Summary'!$C$4:$D$602,2,0)</f>
        <v>DA+0</v>
      </c>
      <c r="E166" s="270" t="s">
        <v>405</v>
      </c>
      <c r="F166" s="271" t="s">
        <v>685</v>
      </c>
      <c r="K166" s="160">
        <v>1</v>
      </c>
      <c r="L166" s="159">
        <v>1</v>
      </c>
      <c r="Q166" s="160">
        <v>1</v>
      </c>
      <c r="R166" s="159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14">
        <v>45516</v>
      </c>
      <c r="C167" s="117" t="s">
        <v>155</v>
      </c>
      <c r="D167" s="3" t="str">
        <f>VLOOKUP(C167,'Location Summary'!$C$4:$D$602,2,0)</f>
        <v>DA+1.5</v>
      </c>
      <c r="E167" s="270" t="s">
        <v>405</v>
      </c>
      <c r="F167" s="271" t="s">
        <v>685</v>
      </c>
      <c r="J167" s="161">
        <v>1</v>
      </c>
      <c r="N167" s="160">
        <v>1</v>
      </c>
      <c r="O167" s="159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14">
        <v>45516</v>
      </c>
      <c r="C168" s="117" t="s">
        <v>901</v>
      </c>
      <c r="D168" s="3" t="str">
        <f>VLOOKUP(C168,'Location Summary'!$C$4:$D$602,2,0)</f>
        <v>DA+6</v>
      </c>
      <c r="E168" s="270" t="s">
        <v>405</v>
      </c>
      <c r="F168" s="271" t="s">
        <v>685</v>
      </c>
      <c r="G168" s="161">
        <v>1</v>
      </c>
      <c r="J168" s="161">
        <v>1</v>
      </c>
      <c r="N168" s="160">
        <v>1</v>
      </c>
      <c r="O168" s="159">
        <v>1</v>
      </c>
      <c r="Q168" s="160">
        <v>1</v>
      </c>
      <c r="R168" s="159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14">
        <v>45517</v>
      </c>
      <c r="C169" s="117" t="s">
        <v>466</v>
      </c>
      <c r="D169" s="3" t="str">
        <f>VLOOKUP(C169,'Location Summary'!$C$4:$D$602,2,0)</f>
        <v>DA+6</v>
      </c>
      <c r="E169" s="270" t="s">
        <v>405</v>
      </c>
      <c r="F169" s="271" t="s">
        <v>685</v>
      </c>
      <c r="G169" s="161">
        <v>1</v>
      </c>
      <c r="J169" s="161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14">
        <v>45517</v>
      </c>
      <c r="C170" s="117" t="s">
        <v>401</v>
      </c>
      <c r="D170" s="3" t="str">
        <f>VLOOKUP(C170,'Location Summary'!$C$4:$D$602,2,0)</f>
        <v>DA+0</v>
      </c>
      <c r="E170" s="270" t="s">
        <v>405</v>
      </c>
      <c r="F170" s="271" t="s">
        <v>685</v>
      </c>
      <c r="O170" s="159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14">
        <v>45517</v>
      </c>
      <c r="C171" s="117" t="s">
        <v>155</v>
      </c>
      <c r="D171" s="3" t="str">
        <f>VLOOKUP(C171,'Location Summary'!$C$4:$D$602,2,0)</f>
        <v>DA+1.5</v>
      </c>
      <c r="E171" s="270" t="s">
        <v>405</v>
      </c>
      <c r="F171" s="271" t="s">
        <v>685</v>
      </c>
      <c r="K171" s="160">
        <v>1</v>
      </c>
      <c r="L171" s="159">
        <v>1</v>
      </c>
      <c r="P171" s="161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14">
        <v>45517</v>
      </c>
      <c r="C172" s="117" t="s">
        <v>901</v>
      </c>
      <c r="D172" s="3" t="str">
        <f>VLOOKUP(C172,'Location Summary'!$C$4:$D$602,2,0)</f>
        <v>DA+6</v>
      </c>
      <c r="E172" s="270" t="s">
        <v>405</v>
      </c>
      <c r="F172" s="271" t="s">
        <v>685</v>
      </c>
      <c r="K172" s="160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14">
        <v>45518</v>
      </c>
      <c r="C173" s="117" t="s">
        <v>901</v>
      </c>
      <c r="D173" s="3" t="str">
        <f>VLOOKUP(C173,'Location Summary'!$C$4:$D$602,2,0)</f>
        <v>DA+6</v>
      </c>
      <c r="E173" s="270" t="s">
        <v>405</v>
      </c>
      <c r="F173" s="271" t="s">
        <v>685</v>
      </c>
      <c r="H173" s="160">
        <v>1</v>
      </c>
      <c r="I173" s="159">
        <v>1</v>
      </c>
      <c r="L173" s="159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14">
        <v>45518</v>
      </c>
      <c r="C174" s="117" t="s">
        <v>466</v>
      </c>
      <c r="D174" s="3" t="str">
        <f>VLOOKUP(C174,'Location Summary'!$C$4:$D$602,2,0)</f>
        <v>DA+6</v>
      </c>
      <c r="E174" s="270" t="s">
        <v>405</v>
      </c>
      <c r="F174" s="271" t="s">
        <v>685</v>
      </c>
      <c r="H174" s="160">
        <v>1</v>
      </c>
      <c r="I174" s="159">
        <v>1</v>
      </c>
      <c r="K174" s="160">
        <v>1</v>
      </c>
      <c r="L174" s="159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14">
        <v>45518</v>
      </c>
      <c r="C175" s="117" t="s">
        <v>155</v>
      </c>
      <c r="D175" s="3" t="str">
        <f>VLOOKUP(C175,'Location Summary'!$C$4:$D$602,2,0)</f>
        <v>DA+1.5</v>
      </c>
      <c r="E175" s="270" t="s">
        <v>405</v>
      </c>
      <c r="F175" s="271" t="s">
        <v>685</v>
      </c>
      <c r="G175" s="161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14">
        <v>45520</v>
      </c>
      <c r="C176" s="117" t="s">
        <v>462</v>
      </c>
      <c r="D176" s="3" t="str">
        <f>VLOOKUP(C176,'Location Summary'!$C$4:$D$602,2,0)</f>
        <v>DA-1.5</v>
      </c>
      <c r="E176" s="270" t="s">
        <v>405</v>
      </c>
      <c r="F176" s="271" t="s">
        <v>685</v>
      </c>
      <c r="I176" s="159">
        <v>1</v>
      </c>
      <c r="L176" s="159">
        <v>1</v>
      </c>
      <c r="P176" s="161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4">
        <v>45520</v>
      </c>
      <c r="C177" s="117" t="s">
        <v>498</v>
      </c>
      <c r="D177" s="3" t="str">
        <f>VLOOKUP(C177,'Location Summary'!$C$4:$D$602,2,0)</f>
        <v>DA+3</v>
      </c>
      <c r="E177" s="270" t="s">
        <v>405</v>
      </c>
      <c r="F177" s="271" t="s">
        <v>685</v>
      </c>
      <c r="G177" s="161">
        <v>1</v>
      </c>
      <c r="J177" s="161">
        <v>1</v>
      </c>
      <c r="M177" s="161">
        <v>1</v>
      </c>
      <c r="P177" s="161">
        <v>1</v>
      </c>
      <c r="Q177" s="160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14">
        <v>45520</v>
      </c>
      <c r="C178" s="117" t="s">
        <v>903</v>
      </c>
      <c r="D178" s="3" t="str">
        <f>VLOOKUP(C178,'Location Summary'!$C$4:$D$602,2,0)</f>
        <v>DA+6</v>
      </c>
      <c r="E178" s="270" t="s">
        <v>405</v>
      </c>
      <c r="F178" s="271" t="s">
        <v>685</v>
      </c>
      <c r="G178" s="161">
        <v>1</v>
      </c>
      <c r="J178" s="161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14">
        <v>45520</v>
      </c>
      <c r="C179" s="117" t="s">
        <v>155</v>
      </c>
      <c r="D179" s="3" t="str">
        <f>VLOOKUP(C179,'Location Summary'!$C$4:$D$602,2,0)</f>
        <v>DA+1.5</v>
      </c>
      <c r="E179" s="270" t="s">
        <v>405</v>
      </c>
      <c r="F179" s="271" t="s">
        <v>685</v>
      </c>
      <c r="H179" s="160">
        <v>1</v>
      </c>
      <c r="I179" s="159">
        <v>1</v>
      </c>
      <c r="Q179" s="160">
        <v>1</v>
      </c>
      <c r="R179" s="159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14">
        <v>45521</v>
      </c>
      <c r="C180" s="117" t="s">
        <v>466</v>
      </c>
      <c r="D180" s="3" t="str">
        <f>VLOOKUP(C180,'Location Summary'!$C$4:$D$602,2,0)</f>
        <v>DA+6</v>
      </c>
      <c r="E180" s="270" t="s">
        <v>405</v>
      </c>
      <c r="F180" s="271" t="s">
        <v>685</v>
      </c>
      <c r="M180" s="161">
        <v>1</v>
      </c>
      <c r="P180" s="161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14">
        <v>45521</v>
      </c>
      <c r="C181" s="117" t="s">
        <v>498</v>
      </c>
      <c r="D181" s="3" t="str">
        <f>VLOOKUP(C181,'Location Summary'!$C$4:$D$602,2,0)</f>
        <v>DA+3</v>
      </c>
      <c r="E181" s="270" t="s">
        <v>405</v>
      </c>
      <c r="F181" s="271" t="s">
        <v>685</v>
      </c>
      <c r="H181" s="160">
        <v>1</v>
      </c>
      <c r="I181" s="159">
        <v>1</v>
      </c>
      <c r="K181" s="160">
        <v>1</v>
      </c>
      <c r="L181" s="159">
        <v>1</v>
      </c>
      <c r="N181" s="160">
        <v>1</v>
      </c>
      <c r="O181" s="159">
        <v>1</v>
      </c>
      <c r="R181" s="159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14">
        <v>45521</v>
      </c>
      <c r="C182" s="117" t="s">
        <v>903</v>
      </c>
      <c r="D182" s="3" t="str">
        <f>VLOOKUP(C182,'Location Summary'!$C$4:$D$602,2,0)</f>
        <v>DA+6</v>
      </c>
      <c r="E182" s="270" t="s">
        <v>405</v>
      </c>
      <c r="F182" s="271" t="s">
        <v>685</v>
      </c>
      <c r="H182" s="160">
        <v>1</v>
      </c>
      <c r="K182" s="160">
        <v>1</v>
      </c>
      <c r="P182" s="161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14">
        <v>45522</v>
      </c>
      <c r="C183" s="117" t="s">
        <v>466</v>
      </c>
      <c r="D183" s="3" t="str">
        <f>VLOOKUP(C183,'Location Summary'!$C$4:$D$602,2,0)</f>
        <v>DA+6</v>
      </c>
      <c r="E183" s="270" t="s">
        <v>405</v>
      </c>
      <c r="F183" s="271" t="s">
        <v>685</v>
      </c>
      <c r="N183" s="160">
        <v>1</v>
      </c>
      <c r="O183" s="159">
        <v>1</v>
      </c>
      <c r="Q183" s="160">
        <v>1</v>
      </c>
      <c r="R183" s="159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14">
        <v>45522</v>
      </c>
      <c r="C184" s="117" t="s">
        <v>903</v>
      </c>
      <c r="D184" s="3" t="str">
        <f>VLOOKUP(C184,'Location Summary'!$C$4:$D$602,2,0)</f>
        <v>DA+6</v>
      </c>
      <c r="E184" s="270" t="s">
        <v>405</v>
      </c>
      <c r="F184" s="271" t="s">
        <v>685</v>
      </c>
      <c r="I184" s="159">
        <v>1</v>
      </c>
      <c r="L184" s="159">
        <v>1</v>
      </c>
      <c r="M184" s="161">
        <v>1</v>
      </c>
      <c r="N184" s="160">
        <v>1</v>
      </c>
      <c r="Q184" s="160">
        <v>1</v>
      </c>
      <c r="R184" s="159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14">
        <v>45522</v>
      </c>
      <c r="C185" s="117" t="s">
        <v>156</v>
      </c>
      <c r="D185" s="3" t="str">
        <f>VLOOKUP(C185,'Location Summary'!$C$4:$D$602,2,0)</f>
        <v>DA-1.5</v>
      </c>
      <c r="E185" s="270" t="s">
        <v>405</v>
      </c>
      <c r="F185" s="271" t="s">
        <v>685</v>
      </c>
      <c r="G185" s="161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14">
        <v>45522</v>
      </c>
      <c r="C186" s="117" t="s">
        <v>875</v>
      </c>
      <c r="D186" s="3" t="str">
        <f>VLOOKUP(C186,'Location Summary'!$C$4:$D$602,2,0)</f>
        <v>DA+6</v>
      </c>
      <c r="E186" s="270" t="s">
        <v>405</v>
      </c>
      <c r="F186" s="271" t="s">
        <v>685</v>
      </c>
      <c r="G186" s="161">
        <v>1</v>
      </c>
      <c r="H186" s="160">
        <v>1</v>
      </c>
      <c r="M186" s="161">
        <v>1</v>
      </c>
      <c r="P186" s="161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14">
        <v>45523</v>
      </c>
      <c r="C187" s="117" t="s">
        <v>875</v>
      </c>
      <c r="D187" s="3" t="str">
        <f>VLOOKUP(C187,'Location Summary'!$C$4:$D$602,2,0)</f>
        <v>DA+6</v>
      </c>
      <c r="E187" s="270" t="s">
        <v>405</v>
      </c>
      <c r="F187" s="271" t="s">
        <v>685</v>
      </c>
      <c r="I187" s="159">
        <v>1</v>
      </c>
      <c r="J187" s="161">
        <v>1</v>
      </c>
      <c r="K187" s="160">
        <v>1</v>
      </c>
      <c r="N187" s="160">
        <v>1</v>
      </c>
      <c r="O187" s="159">
        <v>1</v>
      </c>
      <c r="Q187" s="160">
        <v>1</v>
      </c>
      <c r="R187" s="159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14">
        <v>45524</v>
      </c>
      <c r="C188" s="117" t="s">
        <v>903</v>
      </c>
      <c r="D188" s="3" t="str">
        <f>VLOOKUP(C188,'Location Summary'!$C$4:$D$602,2,0)</f>
        <v>DA+6</v>
      </c>
      <c r="E188" s="270" t="s">
        <v>405</v>
      </c>
      <c r="F188" s="271" t="s">
        <v>685</v>
      </c>
      <c r="O188" s="159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14">
        <v>45524</v>
      </c>
      <c r="C189" s="117" t="s">
        <v>875</v>
      </c>
      <c r="D189" s="3" t="str">
        <f>VLOOKUP(C189,'Location Summary'!$C$4:$D$602,2,0)</f>
        <v>DA+6</v>
      </c>
      <c r="E189" s="270" t="s">
        <v>405</v>
      </c>
      <c r="F189" s="271" t="s">
        <v>685</v>
      </c>
      <c r="L189" s="159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14">
        <v>45524</v>
      </c>
      <c r="C190" s="117" t="s">
        <v>904</v>
      </c>
      <c r="D190" s="3" t="str">
        <f>VLOOKUP(C190,'Location Summary'!$C$4:$D$602,2,0)</f>
        <v>DA+3</v>
      </c>
      <c r="E190" s="270" t="s">
        <v>405</v>
      </c>
      <c r="F190" s="271" t="s">
        <v>685</v>
      </c>
      <c r="J190" s="161">
        <v>1</v>
      </c>
      <c r="P190" s="161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14">
        <v>45526</v>
      </c>
      <c r="C191" s="117" t="s">
        <v>497</v>
      </c>
      <c r="D191" s="3" t="str">
        <f>VLOOKUP(C191,'Location Summary'!$C$4:$D$602,2,0)</f>
        <v>DA+3</v>
      </c>
      <c r="E191" s="270" t="s">
        <v>405</v>
      </c>
      <c r="F191" s="271" t="s">
        <v>685</v>
      </c>
      <c r="G191" s="161">
        <v>1</v>
      </c>
      <c r="H191" s="160">
        <v>1</v>
      </c>
      <c r="J191" s="161">
        <v>1</v>
      </c>
      <c r="K191" s="160">
        <v>1</v>
      </c>
      <c r="M191" s="161">
        <v>1</v>
      </c>
      <c r="P191" s="161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4">
        <v>45526</v>
      </c>
      <c r="C192" s="117" t="s">
        <v>156</v>
      </c>
      <c r="D192" s="3" t="str">
        <f>VLOOKUP(C192,'Location Summary'!$C$4:$D$602,2,0)</f>
        <v>DA-1.5</v>
      </c>
      <c r="E192" s="270" t="s">
        <v>405</v>
      </c>
      <c r="F192" s="271" t="s">
        <v>685</v>
      </c>
      <c r="J192" s="161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14">
        <v>45526</v>
      </c>
      <c r="C193" s="117" t="s">
        <v>904</v>
      </c>
      <c r="D193" s="3" t="str">
        <f>VLOOKUP(C193,'Location Summary'!$C$4:$D$602,2,0)</f>
        <v>DA+3</v>
      </c>
      <c r="E193" s="270" t="s">
        <v>405</v>
      </c>
      <c r="F193" s="271" t="s">
        <v>685</v>
      </c>
      <c r="K193" s="160">
        <v>1</v>
      </c>
      <c r="M193" s="161">
        <v>1</v>
      </c>
      <c r="Q193" s="160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14">
        <v>45526</v>
      </c>
      <c r="C194" s="117" t="s">
        <v>876</v>
      </c>
      <c r="D194" s="3" t="str">
        <f>VLOOKUP(C194,'Location Summary'!$C$4:$D$602,2,0)</f>
        <v>DA+9</v>
      </c>
      <c r="E194" s="270" t="s">
        <v>405</v>
      </c>
      <c r="F194" s="271" t="s">
        <v>685</v>
      </c>
      <c r="P194" s="161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14">
        <v>45527</v>
      </c>
      <c r="C195" s="117" t="s">
        <v>497</v>
      </c>
      <c r="D195" s="3" t="str">
        <f>VLOOKUP(C195,'Location Summary'!$C$4:$D$602,2,0)</f>
        <v>DA+3</v>
      </c>
      <c r="E195" s="270" t="s">
        <v>405</v>
      </c>
      <c r="F195" s="271" t="s">
        <v>685</v>
      </c>
      <c r="I195" s="159">
        <v>1</v>
      </c>
      <c r="L195" s="159">
        <v>1</v>
      </c>
      <c r="N195" s="160">
        <v>1</v>
      </c>
      <c r="O195" s="159">
        <v>1</v>
      </c>
      <c r="Q195" s="160">
        <v>1</v>
      </c>
      <c r="R195" s="159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14">
        <v>45527</v>
      </c>
      <c r="C196" s="117" t="s">
        <v>156</v>
      </c>
      <c r="D196" s="3" t="str">
        <f>VLOOKUP(C196,'Location Summary'!$C$4:$D$602,2,0)</f>
        <v>DA-1.5</v>
      </c>
      <c r="E196" s="270" t="s">
        <v>405</v>
      </c>
      <c r="F196" s="271" t="s">
        <v>685</v>
      </c>
      <c r="H196" s="160">
        <v>1</v>
      </c>
      <c r="I196" s="159">
        <v>1</v>
      </c>
      <c r="K196" s="160">
        <v>1</v>
      </c>
      <c r="L196" s="159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14">
        <v>45527</v>
      </c>
      <c r="C197" s="117" t="s">
        <v>904</v>
      </c>
      <c r="D197" s="3" t="str">
        <f>VLOOKUP(C197,'Location Summary'!$C$4:$D$602,2,0)</f>
        <v>DA+3</v>
      </c>
      <c r="E197" s="270" t="s">
        <v>405</v>
      </c>
      <c r="F197" s="271" t="s">
        <v>685</v>
      </c>
      <c r="G197" s="161">
        <v>1</v>
      </c>
      <c r="L197" s="159">
        <v>1</v>
      </c>
      <c r="N197" s="160">
        <v>1</v>
      </c>
      <c r="R197" s="159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14">
        <v>45527</v>
      </c>
      <c r="C198" s="117" t="s">
        <v>876</v>
      </c>
      <c r="D198" s="3" t="str">
        <f>VLOOKUP(C198,'Location Summary'!$C$4:$D$602,2,0)</f>
        <v>DA+9</v>
      </c>
      <c r="E198" s="270" t="s">
        <v>405</v>
      </c>
      <c r="F198" s="271" t="s">
        <v>685</v>
      </c>
      <c r="M198" s="161">
        <v>1</v>
      </c>
      <c r="Q198" s="160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14">
        <v>45528</v>
      </c>
      <c r="C199" s="117" t="s">
        <v>904</v>
      </c>
      <c r="D199" s="3" t="str">
        <f>VLOOKUP(C199,'Location Summary'!$C$4:$D$602,2,0)</f>
        <v>DA+3</v>
      </c>
      <c r="E199" s="270" t="s">
        <v>405</v>
      </c>
      <c r="F199" s="271" t="s">
        <v>685</v>
      </c>
      <c r="H199" s="160">
        <v>1</v>
      </c>
      <c r="I199" s="159">
        <v>1</v>
      </c>
      <c r="O199" s="159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4">
        <v>45528</v>
      </c>
      <c r="C200" s="117" t="s">
        <v>876</v>
      </c>
      <c r="D200" s="3" t="str">
        <f>VLOOKUP(C200,'Location Summary'!$C$4:$D$602,2,0)</f>
        <v>DA+9</v>
      </c>
      <c r="E200" s="270" t="s">
        <v>405</v>
      </c>
      <c r="F200" s="271" t="s">
        <v>685</v>
      </c>
      <c r="G200" s="161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14">
        <v>45529</v>
      </c>
      <c r="C201" s="117" t="s">
        <v>462</v>
      </c>
      <c r="D201" s="3" t="str">
        <f>VLOOKUP(C201,'Location Summary'!$C$4:$D$602,2,0)</f>
        <v>DA-1.5</v>
      </c>
      <c r="E201" s="270" t="s">
        <v>405</v>
      </c>
      <c r="F201" s="271" t="s">
        <v>685</v>
      </c>
      <c r="M201" s="161">
        <v>1</v>
      </c>
      <c r="N201" s="160">
        <v>1</v>
      </c>
      <c r="O201" s="159">
        <v>1</v>
      </c>
      <c r="Q201" s="160">
        <v>1</v>
      </c>
      <c r="R201" s="159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14">
        <v>45529</v>
      </c>
      <c r="C202" s="117" t="s">
        <v>260</v>
      </c>
      <c r="D202" s="3" t="str">
        <f>VLOOKUP(C202,'Location Summary'!$C$4:$D$602,2,0)</f>
        <v>DA+6</v>
      </c>
      <c r="E202" s="270" t="s">
        <v>405</v>
      </c>
      <c r="F202" s="271" t="s">
        <v>685</v>
      </c>
      <c r="G202" s="161">
        <v>1</v>
      </c>
      <c r="J202" s="161">
        <v>1</v>
      </c>
      <c r="M202" s="161">
        <v>1</v>
      </c>
      <c r="P202" s="161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14">
        <v>45529</v>
      </c>
      <c r="C203" s="117" t="s">
        <v>156</v>
      </c>
      <c r="D203" s="3" t="str">
        <f>VLOOKUP(C203,'Location Summary'!$C$4:$D$602,2,0)</f>
        <v>DA-1.5</v>
      </c>
      <c r="E203" s="270" t="s">
        <v>405</v>
      </c>
      <c r="F203" s="271" t="s">
        <v>685</v>
      </c>
      <c r="P203" s="161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14">
        <v>45529</v>
      </c>
      <c r="C204" s="117" t="s">
        <v>905</v>
      </c>
      <c r="D204" s="3" t="str">
        <f>VLOOKUP(C204,'Location Summary'!$C$4:$D$602,2,0)</f>
        <v>DA+6</v>
      </c>
      <c r="E204" s="270" t="s">
        <v>405</v>
      </c>
      <c r="F204" s="271" t="s">
        <v>685</v>
      </c>
      <c r="G204" s="161">
        <v>1</v>
      </c>
      <c r="P204" s="161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14">
        <v>45529</v>
      </c>
      <c r="C205" s="117" t="s">
        <v>876</v>
      </c>
      <c r="D205" s="3" t="str">
        <f>VLOOKUP(C205,'Location Summary'!$C$4:$D$602,2,0)</f>
        <v>DA+9</v>
      </c>
      <c r="E205" s="270" t="s">
        <v>405</v>
      </c>
      <c r="F205" s="271" t="s">
        <v>685</v>
      </c>
      <c r="H205" s="160">
        <v>1</v>
      </c>
      <c r="J205" s="161">
        <v>1</v>
      </c>
      <c r="N205" s="160">
        <v>1</v>
      </c>
      <c r="O205" s="159">
        <v>1</v>
      </c>
      <c r="R205" s="159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14">
        <v>45530</v>
      </c>
      <c r="C206" s="117" t="s">
        <v>260</v>
      </c>
      <c r="D206" s="3" t="str">
        <f>VLOOKUP(C206,'Location Summary'!$C$4:$D$602,2,0)</f>
        <v>DA+6</v>
      </c>
      <c r="E206" s="270" t="s">
        <v>405</v>
      </c>
      <c r="F206" s="271" t="s">
        <v>685</v>
      </c>
      <c r="N206" s="160">
        <v>1</v>
      </c>
      <c r="O206" s="159">
        <v>1</v>
      </c>
      <c r="Q206" s="160">
        <v>1</v>
      </c>
      <c r="R206" s="159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14">
        <v>45530</v>
      </c>
      <c r="C207" s="117" t="s">
        <v>156</v>
      </c>
      <c r="D207" s="3" t="str">
        <f>VLOOKUP(C207,'Location Summary'!$C$4:$D$602,2,0)</f>
        <v>DA-1.5</v>
      </c>
      <c r="E207" s="270" t="s">
        <v>405</v>
      </c>
      <c r="F207" s="271" t="s">
        <v>685</v>
      </c>
      <c r="Q207" s="160">
        <v>1</v>
      </c>
      <c r="R207" s="159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4">
        <v>45530</v>
      </c>
      <c r="C208" s="117" t="s">
        <v>905</v>
      </c>
      <c r="D208" s="3" t="str">
        <f>VLOOKUP(C208,'Location Summary'!$C$4:$D$602,2,0)</f>
        <v>DA+6</v>
      </c>
      <c r="E208" s="270" t="s">
        <v>405</v>
      </c>
      <c r="F208" s="271" t="s">
        <v>685</v>
      </c>
      <c r="H208" s="160">
        <v>1</v>
      </c>
      <c r="J208" s="161">
        <v>1</v>
      </c>
      <c r="M208" s="161">
        <v>1</v>
      </c>
      <c r="Q208" s="160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14">
        <v>45530</v>
      </c>
      <c r="C209" s="117" t="s">
        <v>876</v>
      </c>
      <c r="D209" s="3" t="str">
        <f>VLOOKUP(C209,'Location Summary'!$C$4:$D$602,2,0)</f>
        <v>DA+9</v>
      </c>
      <c r="E209" s="270" t="s">
        <v>405</v>
      </c>
      <c r="F209" s="271" t="s">
        <v>685</v>
      </c>
      <c r="I209" s="159">
        <v>1</v>
      </c>
      <c r="K209" s="160">
        <v>1</v>
      </c>
      <c r="L209" s="159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14">
        <v>45531</v>
      </c>
      <c r="C210" s="117" t="s">
        <v>905</v>
      </c>
      <c r="D210" s="3" t="str">
        <f>VLOOKUP(C210,'Location Summary'!$C$4:$D$602,2,0)</f>
        <v>DA+6</v>
      </c>
      <c r="E210" s="270" t="s">
        <v>405</v>
      </c>
      <c r="F210" s="271" t="s">
        <v>685</v>
      </c>
      <c r="I210" s="159">
        <v>1</v>
      </c>
      <c r="K210" s="160">
        <v>1</v>
      </c>
      <c r="L210" s="159">
        <v>1</v>
      </c>
      <c r="N210" s="160">
        <v>1</v>
      </c>
      <c r="O210" s="159">
        <v>1</v>
      </c>
      <c r="R210" s="159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14">
        <v>45531</v>
      </c>
      <c r="C211" s="117" t="s">
        <v>156</v>
      </c>
      <c r="D211" s="3" t="str">
        <f>VLOOKUP(C211,'Location Summary'!$C$4:$D$602,2,0)</f>
        <v>DA-1.5</v>
      </c>
      <c r="E211" s="270" t="s">
        <v>405</v>
      </c>
      <c r="F211" s="271" t="s">
        <v>685</v>
      </c>
      <c r="M211" s="161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14">
        <v>45532</v>
      </c>
      <c r="C212" s="117" t="s">
        <v>156</v>
      </c>
      <c r="D212" s="3" t="str">
        <f>VLOOKUP(C212,'Location Summary'!$C$4:$D$602,2,0)</f>
        <v>DA-1.5</v>
      </c>
      <c r="E212" s="270" t="s">
        <v>405</v>
      </c>
      <c r="F212" s="271" t="s">
        <v>685</v>
      </c>
      <c r="N212" s="160">
        <v>1</v>
      </c>
      <c r="O212" s="159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14">
        <v>45532</v>
      </c>
      <c r="C213" s="117" t="s">
        <v>259</v>
      </c>
      <c r="D213" s="3" t="str">
        <f>VLOOKUP(C213,'Location Summary'!$C$4:$D$602,2,0)</f>
        <v>DA+9</v>
      </c>
      <c r="E213" s="270" t="s">
        <v>405</v>
      </c>
      <c r="F213" s="271" t="s">
        <v>685</v>
      </c>
      <c r="G213" s="161">
        <v>1</v>
      </c>
      <c r="J213" s="161">
        <v>1</v>
      </c>
      <c r="M213" s="161">
        <v>1</v>
      </c>
      <c r="P213" s="161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14">
        <v>45532</v>
      </c>
      <c r="C214" s="117" t="s">
        <v>572</v>
      </c>
      <c r="D214" s="3" t="str">
        <f>VLOOKUP(C214,'Location Summary'!$C$4:$D$602,2,0)</f>
        <v>DA+6</v>
      </c>
      <c r="E214" s="270" t="s">
        <v>405</v>
      </c>
      <c r="F214" s="271" t="s">
        <v>685</v>
      </c>
      <c r="J214" s="161">
        <v>1</v>
      </c>
      <c r="M214" s="161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14">
        <v>45533</v>
      </c>
      <c r="C215" s="117" t="s">
        <v>259</v>
      </c>
      <c r="D215" s="3" t="str">
        <f>VLOOKUP(C215,'Location Summary'!$C$4:$D$602,2,0)</f>
        <v>DA+9</v>
      </c>
      <c r="E215" s="270" t="s">
        <v>405</v>
      </c>
      <c r="F215" s="271" t="s">
        <v>685</v>
      </c>
      <c r="H215" s="160">
        <v>1</v>
      </c>
      <c r="K215" s="160">
        <v>1</v>
      </c>
      <c r="N215" s="160">
        <v>1</v>
      </c>
      <c r="O215" s="159">
        <v>1</v>
      </c>
      <c r="Q215" s="160">
        <v>1</v>
      </c>
      <c r="R215" s="159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14">
        <v>45533</v>
      </c>
      <c r="C216" s="117" t="s">
        <v>572</v>
      </c>
      <c r="D216" s="3" t="str">
        <f>VLOOKUP(C216,'Location Summary'!$C$4:$D$602,2,0)</f>
        <v>DA+6</v>
      </c>
      <c r="E216" s="270" t="s">
        <v>405</v>
      </c>
      <c r="F216" s="271" t="s">
        <v>685</v>
      </c>
      <c r="G216" s="161">
        <v>1</v>
      </c>
      <c r="P216" s="161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14">
        <v>45534</v>
      </c>
      <c r="C217" s="117" t="s">
        <v>259</v>
      </c>
      <c r="D217" s="3" t="str">
        <f>VLOOKUP(C217,'Location Summary'!$C$4:$D$602,2,0)</f>
        <v>DA+9</v>
      </c>
      <c r="E217" s="270" t="s">
        <v>405</v>
      </c>
      <c r="F217" s="271" t="s">
        <v>685</v>
      </c>
      <c r="I217" s="159">
        <v>1</v>
      </c>
      <c r="L217" s="159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4">
        <v>45534</v>
      </c>
      <c r="C218" s="117" t="s">
        <v>906</v>
      </c>
      <c r="D218" s="3" t="str">
        <f>VLOOKUP(C218,'Location Summary'!$C$4:$D$602,2,0)</f>
        <v>DA+9</v>
      </c>
      <c r="E218" s="270" t="s">
        <v>405</v>
      </c>
      <c r="F218" s="271" t="s">
        <v>685</v>
      </c>
      <c r="M218" s="161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14">
        <v>45534</v>
      </c>
      <c r="C219" s="117" t="s">
        <v>572</v>
      </c>
      <c r="D219" s="3" t="str">
        <f>VLOOKUP(C219,'Location Summary'!$C$4:$D$602,2,0)</f>
        <v>DA+6</v>
      </c>
      <c r="E219" s="270" t="s">
        <v>405</v>
      </c>
      <c r="F219" s="271" t="s">
        <v>685</v>
      </c>
      <c r="H219" s="160">
        <v>1</v>
      </c>
      <c r="I219" s="159">
        <v>1</v>
      </c>
      <c r="K219" s="160">
        <v>1</v>
      </c>
      <c r="L219" s="159">
        <v>1</v>
      </c>
      <c r="N219" s="160">
        <v>1</v>
      </c>
      <c r="O219" s="159">
        <v>1</v>
      </c>
      <c r="Q219" s="160">
        <v>1</v>
      </c>
      <c r="R219" s="159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14">
        <v>45534</v>
      </c>
      <c r="C220" s="117" t="s">
        <v>494</v>
      </c>
      <c r="D220" s="3" t="str">
        <f>VLOOKUP(C220,'Location Summary'!$C$4:$D$602,2,0)</f>
        <v>DA+1.5</v>
      </c>
      <c r="E220" s="270" t="s">
        <v>405</v>
      </c>
      <c r="F220" s="271" t="s">
        <v>685</v>
      </c>
      <c r="J220" s="161">
        <v>1</v>
      </c>
      <c r="K220" s="160">
        <v>1</v>
      </c>
      <c r="M220" s="161">
        <v>1</v>
      </c>
      <c r="P220" s="161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14">
        <v>45534</v>
      </c>
      <c r="C221" s="117" t="s">
        <v>897</v>
      </c>
      <c r="D221" s="3" t="str">
        <f>VLOOKUP(C221,'Location Summary'!$C$4:$D$602,2,0)</f>
        <v>DA+9</v>
      </c>
      <c r="E221" s="270" t="s">
        <v>405</v>
      </c>
      <c r="F221" s="271" t="s">
        <v>685</v>
      </c>
      <c r="G221" s="161">
        <v>1</v>
      </c>
      <c r="J221" s="161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14">
        <v>45534</v>
      </c>
      <c r="C222" s="117" t="s">
        <v>492</v>
      </c>
      <c r="D222" s="3" t="str">
        <f>VLOOKUP(C222,'Location Summary'!$C$4:$D$602,2,0)</f>
        <v>DA+1.5</v>
      </c>
      <c r="E222" s="270" t="s">
        <v>405</v>
      </c>
      <c r="F222" s="271" t="s">
        <v>685</v>
      </c>
      <c r="M222" s="161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14">
        <v>45535</v>
      </c>
      <c r="C223" s="117" t="s">
        <v>906</v>
      </c>
      <c r="D223" s="3" t="str">
        <f>VLOOKUP(C223,'Location Summary'!$C$4:$D$602,2,0)</f>
        <v>DA+9</v>
      </c>
      <c r="E223" s="270" t="s">
        <v>405</v>
      </c>
      <c r="F223" s="271" t="s">
        <v>685</v>
      </c>
      <c r="N223" s="160">
        <v>1</v>
      </c>
      <c r="O223" s="159">
        <v>1</v>
      </c>
      <c r="P223" s="161">
        <v>1</v>
      </c>
      <c r="Q223" s="160">
        <v>1</v>
      </c>
      <c r="R223" s="159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4">
        <v>45535</v>
      </c>
      <c r="C224" s="117" t="s">
        <v>494</v>
      </c>
      <c r="D224" s="3" t="str">
        <f>VLOOKUP(C224,'Location Summary'!$C$4:$D$602,2,0)</f>
        <v>DA+1.5</v>
      </c>
      <c r="E224" s="270" t="s">
        <v>405</v>
      </c>
      <c r="F224" s="271" t="s">
        <v>685</v>
      </c>
      <c r="G224" s="161">
        <v>1</v>
      </c>
      <c r="L224" s="159">
        <v>1</v>
      </c>
      <c r="N224" s="160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14">
        <v>45535</v>
      </c>
      <c r="C225" s="117" t="s">
        <v>897</v>
      </c>
      <c r="D225" s="3" t="str">
        <f>VLOOKUP(C225,'Location Summary'!$C$4:$D$602,2,0)</f>
        <v>DA+9</v>
      </c>
      <c r="E225" s="270" t="s">
        <v>405</v>
      </c>
      <c r="F225" s="271" t="s">
        <v>685</v>
      </c>
      <c r="H225" s="160">
        <v>1</v>
      </c>
      <c r="I225" s="159">
        <v>1</v>
      </c>
      <c r="K225" s="160">
        <v>1</v>
      </c>
      <c r="L225" s="159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14">
        <v>45535</v>
      </c>
      <c r="C226" s="117" t="s">
        <v>492</v>
      </c>
      <c r="D226" s="3" t="str">
        <f>VLOOKUP(C226,'Location Summary'!$C$4:$D$602,2,0)</f>
        <v>DA+1.5</v>
      </c>
      <c r="E226" s="270" t="s">
        <v>405</v>
      </c>
      <c r="F226" s="271" t="s">
        <v>685</v>
      </c>
      <c r="P226" s="161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14">
        <v>45536</v>
      </c>
      <c r="C227" s="117" t="s">
        <v>468</v>
      </c>
      <c r="D227" s="3" t="str">
        <f>VLOOKUP(C227,'Location Summary'!$C$4:$D$602,2,0)</f>
        <v>DA+9</v>
      </c>
      <c r="E227" s="270" t="s">
        <v>405</v>
      </c>
      <c r="F227" s="271" t="s">
        <v>685</v>
      </c>
      <c r="G227" s="161">
        <v>1</v>
      </c>
      <c r="J227" s="161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14">
        <v>45536</v>
      </c>
      <c r="C228" s="117" t="s">
        <v>494</v>
      </c>
      <c r="D228" s="3" t="str">
        <f>VLOOKUP(C228,'Location Summary'!$C$4:$D$602,2,0)</f>
        <v>DA+1.5</v>
      </c>
      <c r="E228" s="270" t="s">
        <v>405</v>
      </c>
      <c r="F228" s="271" t="s">
        <v>685</v>
      </c>
      <c r="H228" s="160">
        <v>1</v>
      </c>
      <c r="I228" s="159">
        <v>1</v>
      </c>
      <c r="O228" s="159">
        <v>1</v>
      </c>
      <c r="Q228" s="160">
        <v>1</v>
      </c>
      <c r="R228" s="159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14">
        <v>45536</v>
      </c>
      <c r="C229" s="117" t="s">
        <v>897</v>
      </c>
      <c r="D229" s="3" t="str">
        <f>VLOOKUP(C229,'Location Summary'!$C$4:$D$602,2,0)</f>
        <v>DA+9</v>
      </c>
      <c r="E229" s="270" t="s">
        <v>405</v>
      </c>
      <c r="F229" s="271" t="s">
        <v>685</v>
      </c>
      <c r="M229" s="161">
        <v>1</v>
      </c>
      <c r="N229" s="160">
        <v>1</v>
      </c>
      <c r="O229" s="159">
        <v>1</v>
      </c>
      <c r="P229" s="161">
        <v>1</v>
      </c>
      <c r="Q229" s="160">
        <v>1</v>
      </c>
      <c r="R229" s="159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14">
        <v>45536</v>
      </c>
      <c r="C230" s="117" t="s">
        <v>492</v>
      </c>
      <c r="D230" s="3" t="str">
        <f>VLOOKUP(C230,'Location Summary'!$C$4:$D$602,2,0)</f>
        <v>DA+1.5</v>
      </c>
      <c r="E230" s="270" t="s">
        <v>405</v>
      </c>
      <c r="F230" s="271" t="s">
        <v>685</v>
      </c>
      <c r="N230" s="160">
        <v>1</v>
      </c>
      <c r="Q230" s="160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14">
        <v>45537</v>
      </c>
      <c r="C231" s="117" t="s">
        <v>468</v>
      </c>
      <c r="D231" s="3" t="str">
        <f>VLOOKUP(C231,'Location Summary'!$C$4:$D$602,2,0)</f>
        <v>DA+9</v>
      </c>
      <c r="E231" s="270" t="s">
        <v>405</v>
      </c>
      <c r="F231" s="271" t="s">
        <v>685</v>
      </c>
      <c r="H231" s="160">
        <v>1</v>
      </c>
      <c r="K231" s="160">
        <v>1</v>
      </c>
      <c r="M231" s="161">
        <v>1</v>
      </c>
      <c r="P231" s="161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4">
        <v>45537</v>
      </c>
      <c r="C232" s="117" t="s">
        <v>573</v>
      </c>
      <c r="D232" s="3" t="str">
        <f>VLOOKUP(C232,'Location Summary'!$C$4:$D$602,2,0)</f>
        <v>DA+6</v>
      </c>
      <c r="E232" s="270" t="s">
        <v>405</v>
      </c>
      <c r="F232" s="271" t="s">
        <v>685</v>
      </c>
      <c r="J232" s="161">
        <v>1</v>
      </c>
      <c r="M232" s="161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14">
        <v>45537</v>
      </c>
      <c r="C233" s="117" t="s">
        <v>492</v>
      </c>
      <c r="D233" s="3" t="str">
        <f>VLOOKUP(C233,'Location Summary'!$C$4:$D$602,2,0)</f>
        <v>DA+1.5</v>
      </c>
      <c r="E233" s="270" t="s">
        <v>405</v>
      </c>
      <c r="F233" s="271" t="s">
        <v>685</v>
      </c>
      <c r="O233" s="159">
        <v>1</v>
      </c>
      <c r="R233" s="159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14">
        <v>45538</v>
      </c>
      <c r="C234" s="117" t="s">
        <v>468</v>
      </c>
      <c r="D234" s="3" t="str">
        <f>VLOOKUP(C234,'Location Summary'!$C$4:$D$602,2,0)</f>
        <v>DA+9</v>
      </c>
      <c r="E234" s="270" t="s">
        <v>405</v>
      </c>
      <c r="F234" s="271" t="s">
        <v>685</v>
      </c>
      <c r="N234" s="160">
        <v>1</v>
      </c>
      <c r="Q234" s="160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14">
        <v>45538</v>
      </c>
      <c r="C235" s="117" t="s">
        <v>495</v>
      </c>
      <c r="D235" s="3" t="str">
        <f>VLOOKUP(C235,'Location Summary'!$C$4:$D$602,2,0)</f>
        <v>DA+3</v>
      </c>
      <c r="E235" s="270" t="s">
        <v>405</v>
      </c>
      <c r="F235" s="271" t="s">
        <v>685</v>
      </c>
      <c r="G235" s="161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14">
        <v>45538</v>
      </c>
      <c r="C236" s="117" t="s">
        <v>492</v>
      </c>
      <c r="D236" s="3" t="str">
        <f>VLOOKUP(C236,'Location Summary'!$C$4:$D$602,2,0)</f>
        <v>DA+1.5</v>
      </c>
      <c r="E236" s="270" t="s">
        <v>405</v>
      </c>
      <c r="F236" s="271" t="s">
        <v>685</v>
      </c>
      <c r="J236" s="161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14">
        <v>45539</v>
      </c>
      <c r="C237" s="117" t="s">
        <v>896</v>
      </c>
      <c r="D237" s="3" t="str">
        <f>VLOOKUP(C237,'Location Summary'!$C$4:$D$602,2,0)</f>
        <v>DA+6</v>
      </c>
      <c r="E237" s="270" t="s">
        <v>405</v>
      </c>
      <c r="F237" s="271" t="s">
        <v>685</v>
      </c>
      <c r="G237" s="161">
        <v>1</v>
      </c>
      <c r="P237" s="161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14">
        <v>45539</v>
      </c>
      <c r="C238" s="117" t="s">
        <v>468</v>
      </c>
      <c r="D238" s="3" t="str">
        <f>VLOOKUP(C238,'Location Summary'!$C$4:$D$602,2,0)</f>
        <v>DA+9</v>
      </c>
      <c r="E238" s="270" t="s">
        <v>405</v>
      </c>
      <c r="F238" s="271" t="s">
        <v>685</v>
      </c>
      <c r="I238" s="159">
        <v>1</v>
      </c>
      <c r="L238" s="159">
        <v>1</v>
      </c>
      <c r="O238" s="159">
        <v>1</v>
      </c>
      <c r="R238" s="159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4">
        <v>45539</v>
      </c>
      <c r="C239" s="117" t="s">
        <v>573</v>
      </c>
      <c r="D239" s="3" t="str">
        <f>VLOOKUP(C239,'Location Summary'!$C$4:$D$602,2,0)</f>
        <v>DA+6</v>
      </c>
      <c r="E239" s="270" t="s">
        <v>405</v>
      </c>
      <c r="F239" s="271" t="s">
        <v>685</v>
      </c>
      <c r="G239" s="161">
        <v>1</v>
      </c>
      <c r="H239" s="160">
        <v>1</v>
      </c>
      <c r="I239" s="159">
        <v>1</v>
      </c>
      <c r="K239" s="160">
        <v>1</v>
      </c>
      <c r="L239" s="159">
        <v>1</v>
      </c>
      <c r="N239" s="160">
        <v>1</v>
      </c>
      <c r="O239" s="159">
        <v>1</v>
      </c>
      <c r="P239" s="161">
        <v>1</v>
      </c>
      <c r="Q239" s="160">
        <v>1</v>
      </c>
      <c r="R239" s="159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14">
        <v>45539</v>
      </c>
      <c r="C240" s="117" t="s">
        <v>432</v>
      </c>
      <c r="D240" s="3" t="str">
        <f>VLOOKUP(C240,'Location Summary'!$C$4:$D$602,2,0)</f>
        <v>DA+6</v>
      </c>
      <c r="E240" s="270" t="s">
        <v>405</v>
      </c>
      <c r="F240" s="271" t="s">
        <v>685</v>
      </c>
      <c r="J240" s="161">
        <v>1</v>
      </c>
      <c r="M240" s="161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14">
        <v>45539</v>
      </c>
      <c r="C241" s="117" t="s">
        <v>495</v>
      </c>
      <c r="D241" s="3" t="str">
        <f>VLOOKUP(C241,'Location Summary'!$C$4:$D$602,2,0)</f>
        <v>DA+3</v>
      </c>
      <c r="E241" s="270" t="s">
        <v>405</v>
      </c>
      <c r="F241" s="271" t="s">
        <v>685</v>
      </c>
      <c r="H241" s="160">
        <v>1</v>
      </c>
      <c r="I241" s="159">
        <v>1</v>
      </c>
      <c r="M241" s="161">
        <v>1</v>
      </c>
      <c r="N241" s="160">
        <v>1</v>
      </c>
      <c r="O241" s="159">
        <v>1</v>
      </c>
      <c r="P241" s="161">
        <v>1</v>
      </c>
      <c r="Q241" s="160">
        <v>1</v>
      </c>
      <c r="R241" s="159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14">
        <v>45539</v>
      </c>
      <c r="C242" s="117" t="s">
        <v>492</v>
      </c>
      <c r="D242" s="3" t="str">
        <f>VLOOKUP(C242,'Location Summary'!$C$4:$D$602,2,0)</f>
        <v>DA+1.5</v>
      </c>
      <c r="E242" s="270" t="s">
        <v>405</v>
      </c>
      <c r="F242" s="271" t="s">
        <v>685</v>
      </c>
      <c r="K242" s="160">
        <v>1</v>
      </c>
      <c r="L242" s="159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14">
        <v>45540</v>
      </c>
      <c r="C243" s="117" t="s">
        <v>432</v>
      </c>
      <c r="D243" s="3" t="str">
        <f>VLOOKUP(C243,'Location Summary'!$C$4:$D$602,2,0)</f>
        <v>DA+6</v>
      </c>
      <c r="E243" s="270" t="s">
        <v>405</v>
      </c>
      <c r="F243" s="271" t="s">
        <v>685</v>
      </c>
      <c r="J243" s="161">
        <v>1</v>
      </c>
      <c r="M243" s="161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14">
        <v>45540</v>
      </c>
      <c r="C244" s="117" t="s">
        <v>495</v>
      </c>
      <c r="D244" s="3" t="str">
        <f>VLOOKUP(C244,'Location Summary'!$C$4:$D$602,2,0)</f>
        <v>DA+3</v>
      </c>
      <c r="E244" s="270" t="s">
        <v>405</v>
      </c>
      <c r="F244" s="271" t="s">
        <v>685</v>
      </c>
      <c r="J244" s="161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14">
        <v>45540</v>
      </c>
      <c r="C245" s="117" t="s">
        <v>896</v>
      </c>
      <c r="D245" s="3" t="str">
        <f>VLOOKUP(C245,'Location Summary'!$C$4:$D$602,2,0)</f>
        <v>DA+6</v>
      </c>
      <c r="E245" s="270" t="s">
        <v>405</v>
      </c>
      <c r="F245" s="271" t="s">
        <v>685</v>
      </c>
      <c r="H245" s="160">
        <v>1</v>
      </c>
      <c r="I245" s="159">
        <v>1</v>
      </c>
      <c r="J245" s="161">
        <v>1</v>
      </c>
      <c r="M245" s="161">
        <v>1</v>
      </c>
      <c r="Q245" s="160">
        <v>1</v>
      </c>
      <c r="R245" s="159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14">
        <v>45540</v>
      </c>
      <c r="C246" s="117" t="s">
        <v>492</v>
      </c>
      <c r="D246" s="3" t="str">
        <f>VLOOKUP(C246,'Location Summary'!$C$4:$D$602,2,0)</f>
        <v>DA+1.5</v>
      </c>
      <c r="E246" s="270" t="s">
        <v>405</v>
      </c>
      <c r="F246" s="271" t="s">
        <v>685</v>
      </c>
      <c r="G246" s="161">
        <v>1</v>
      </c>
      <c r="H246" s="160">
        <v>1</v>
      </c>
      <c r="I246" s="159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14">
        <v>45541</v>
      </c>
      <c r="C247" s="117" t="s">
        <v>469</v>
      </c>
      <c r="D247" s="3" t="str">
        <f>VLOOKUP(C247,'Location Summary'!$C$4:$D$602,2,0)</f>
        <v>DA+3</v>
      </c>
      <c r="E247" s="270" t="s">
        <v>405</v>
      </c>
      <c r="F247" s="271" t="s">
        <v>685</v>
      </c>
      <c r="G247" s="161">
        <v>1</v>
      </c>
      <c r="J247" s="161">
        <v>1</v>
      </c>
      <c r="M247" s="161">
        <v>1</v>
      </c>
      <c r="P247" s="161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14">
        <v>45541</v>
      </c>
      <c r="C248" s="117" t="s">
        <v>432</v>
      </c>
      <c r="D248" s="3" t="str">
        <f>VLOOKUP(C248,'Location Summary'!$C$4:$D$602,2,0)</f>
        <v>DA+6</v>
      </c>
      <c r="E248" s="270" t="s">
        <v>405</v>
      </c>
      <c r="F248" s="271" t="s">
        <v>685</v>
      </c>
      <c r="K248" s="160">
        <v>1</v>
      </c>
      <c r="L248" s="159">
        <v>1</v>
      </c>
      <c r="N248" s="160">
        <v>1</v>
      </c>
      <c r="O248" s="159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14">
        <v>45541</v>
      </c>
      <c r="C249" s="117" t="s">
        <v>187</v>
      </c>
      <c r="D249" s="3" t="str">
        <f>VLOOKUP(C249,'Location Summary'!$C$4:$D$602,2,0)</f>
        <v>DA+3</v>
      </c>
      <c r="E249" s="270" t="s">
        <v>405</v>
      </c>
      <c r="F249" s="271" t="s">
        <v>685</v>
      </c>
      <c r="G249" s="161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14">
        <v>45541</v>
      </c>
      <c r="C250" s="117" t="s">
        <v>495</v>
      </c>
      <c r="D250" s="3" t="str">
        <f>VLOOKUP(C250,'Location Summary'!$C$4:$D$602,2,0)</f>
        <v>DA+3</v>
      </c>
      <c r="E250" s="270" t="s">
        <v>405</v>
      </c>
      <c r="F250" s="271" t="s">
        <v>685</v>
      </c>
      <c r="K250" s="160">
        <v>1</v>
      </c>
      <c r="L250" s="159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14">
        <v>45541</v>
      </c>
      <c r="C251" s="117" t="s">
        <v>896</v>
      </c>
      <c r="D251" s="3" t="str">
        <f>VLOOKUP(C251,'Location Summary'!$C$4:$D$602,2,0)</f>
        <v>DA+6</v>
      </c>
      <c r="E251" s="270" t="s">
        <v>405</v>
      </c>
      <c r="F251" s="271" t="s">
        <v>685</v>
      </c>
      <c r="K251" s="160">
        <v>1</v>
      </c>
      <c r="L251" s="159">
        <v>1</v>
      </c>
      <c r="N251" s="160">
        <v>1</v>
      </c>
      <c r="O251" s="159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14">
        <v>45542</v>
      </c>
      <c r="C252" s="117" t="s">
        <v>469</v>
      </c>
      <c r="D252" s="3" t="str">
        <f>VLOOKUP(C252,'Location Summary'!$C$4:$D$602,2,0)</f>
        <v>DA+3</v>
      </c>
      <c r="E252" s="270" t="s">
        <v>405</v>
      </c>
      <c r="F252" s="271" t="s">
        <v>685</v>
      </c>
      <c r="H252" s="160">
        <v>1</v>
      </c>
      <c r="I252" s="159">
        <v>1</v>
      </c>
      <c r="K252" s="160">
        <v>1</v>
      </c>
      <c r="L252" s="159">
        <v>1</v>
      </c>
      <c r="N252" s="160">
        <v>1</v>
      </c>
      <c r="O252" s="159">
        <v>1</v>
      </c>
      <c r="Q252" s="160">
        <v>1</v>
      </c>
      <c r="R252" s="159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14">
        <v>45542</v>
      </c>
      <c r="C253" s="117" t="s">
        <v>432</v>
      </c>
      <c r="D253" s="3" t="str">
        <f>VLOOKUP(C253,'Location Summary'!$C$4:$D$602,2,0)</f>
        <v>DA+6</v>
      </c>
      <c r="E253" s="270" t="s">
        <v>405</v>
      </c>
      <c r="F253" s="271" t="s">
        <v>685</v>
      </c>
      <c r="G253" s="161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4">
        <v>45543</v>
      </c>
      <c r="C254" s="117" t="s">
        <v>432</v>
      </c>
      <c r="D254" s="3" t="str">
        <f>VLOOKUP(C254,'Location Summary'!$C$4:$D$602,2,0)</f>
        <v>DA+6</v>
      </c>
      <c r="E254" s="270" t="s">
        <v>405</v>
      </c>
      <c r="F254" s="271" t="s">
        <v>685</v>
      </c>
      <c r="H254" s="160">
        <v>1</v>
      </c>
      <c r="I254" s="159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14">
        <v>45543</v>
      </c>
      <c r="C255" s="117" t="s">
        <v>187</v>
      </c>
      <c r="D255" s="3" t="str">
        <f>VLOOKUP(C255,'Location Summary'!$C$4:$D$602,2,0)</f>
        <v>DA+3</v>
      </c>
      <c r="E255" s="270" t="s">
        <v>405</v>
      </c>
      <c r="F255" s="271" t="s">
        <v>685</v>
      </c>
      <c r="H255" s="160">
        <v>1</v>
      </c>
      <c r="J255" s="161">
        <v>1</v>
      </c>
      <c r="K255" s="160">
        <v>1</v>
      </c>
      <c r="M255" s="161">
        <v>1</v>
      </c>
      <c r="N255" s="160">
        <v>1</v>
      </c>
      <c r="P255" s="161">
        <v>1</v>
      </c>
      <c r="Q255" s="160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14">
        <v>45543</v>
      </c>
      <c r="C256" s="117" t="s">
        <v>496</v>
      </c>
      <c r="D256" s="3" t="str">
        <f>VLOOKUP(C256,'Location Summary'!$C$4:$D$602,2,0)</f>
        <v>DA+3</v>
      </c>
      <c r="E256" s="270" t="s">
        <v>405</v>
      </c>
      <c r="F256" s="271" t="s">
        <v>685</v>
      </c>
      <c r="J256" s="161">
        <v>1</v>
      </c>
      <c r="M256" s="161">
        <v>1</v>
      </c>
      <c r="P256" s="161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14">
        <v>45543</v>
      </c>
      <c r="C257" s="117" t="s">
        <v>895</v>
      </c>
      <c r="D257" s="3" t="str">
        <f>VLOOKUP(C257,'Location Summary'!$C$4:$D$602,2,0)</f>
        <v>DA+9</v>
      </c>
      <c r="E257" s="270" t="s">
        <v>405</v>
      </c>
      <c r="F257" s="271" t="s">
        <v>685</v>
      </c>
      <c r="G257" s="161">
        <v>1</v>
      </c>
      <c r="J257" s="161">
        <v>1</v>
      </c>
      <c r="M257" s="161">
        <v>1</v>
      </c>
      <c r="N257" s="160">
        <v>1</v>
      </c>
      <c r="O257" s="159">
        <v>1</v>
      </c>
      <c r="P257" s="161">
        <v>1</v>
      </c>
      <c r="Q257" s="160">
        <v>1</v>
      </c>
      <c r="R257" s="159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14">
        <v>45543</v>
      </c>
      <c r="C258" s="117" t="s">
        <v>477</v>
      </c>
      <c r="D258" s="3" t="str">
        <f>VLOOKUP(C258,'Location Summary'!$C$4:$D$602,2,0)</f>
        <v>DA-1.5</v>
      </c>
      <c r="E258" s="270" t="s">
        <v>405</v>
      </c>
      <c r="F258" s="271" t="s">
        <v>685</v>
      </c>
      <c r="P258" s="161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14">
        <v>45543</v>
      </c>
      <c r="C259" s="117" t="s">
        <v>588</v>
      </c>
      <c r="D259" s="3" t="str">
        <f>VLOOKUP(C259,'Location Summary'!$C$4:$D$602,2,0)</f>
        <v>DA+3</v>
      </c>
      <c r="E259" s="270" t="s">
        <v>405</v>
      </c>
      <c r="F259" s="271" t="s">
        <v>685</v>
      </c>
      <c r="M259" s="161">
        <v>1</v>
      </c>
      <c r="P259" s="161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14">
        <v>45544</v>
      </c>
      <c r="C260" s="117" t="s">
        <v>465</v>
      </c>
      <c r="D260" s="3" t="str">
        <f>VLOOKUP(C260,'Location Summary'!$C$4:$D$602,2,0)</f>
        <v>DA+9</v>
      </c>
      <c r="E260" s="270" t="s">
        <v>405</v>
      </c>
      <c r="F260" s="271" t="s">
        <v>685</v>
      </c>
      <c r="G260" s="161">
        <v>1</v>
      </c>
      <c r="P260" s="161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4">
        <v>45544</v>
      </c>
      <c r="C261" s="117" t="s">
        <v>187</v>
      </c>
      <c r="D261" s="3" t="str">
        <f>VLOOKUP(C261,'Location Summary'!$C$4:$D$602,2,0)</f>
        <v>DA+3</v>
      </c>
      <c r="E261" s="270" t="s">
        <v>405</v>
      </c>
      <c r="F261" s="271" t="s">
        <v>685</v>
      </c>
      <c r="I261" s="159">
        <v>1</v>
      </c>
      <c r="L261" s="159">
        <v>1</v>
      </c>
      <c r="O261" s="159">
        <v>1</v>
      </c>
      <c r="R261" s="159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14">
        <v>45544</v>
      </c>
      <c r="C262" s="117" t="s">
        <v>496</v>
      </c>
      <c r="D262" s="3" t="str">
        <f>VLOOKUP(C262,'Location Summary'!$C$4:$D$602,2,0)</f>
        <v>DA+3</v>
      </c>
      <c r="E262" s="270" t="s">
        <v>405</v>
      </c>
      <c r="F262" s="271" t="s">
        <v>685</v>
      </c>
      <c r="G262" s="161">
        <v>1</v>
      </c>
      <c r="K262" s="160">
        <v>1</v>
      </c>
      <c r="N262" s="160">
        <v>1</v>
      </c>
      <c r="O262" s="159">
        <v>1</v>
      </c>
      <c r="Q262" s="160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14">
        <v>45544</v>
      </c>
      <c r="C263" s="117" t="s">
        <v>895</v>
      </c>
      <c r="D263" s="3" t="str">
        <f>VLOOKUP(C263,'Location Summary'!$C$4:$D$602,2,0)</f>
        <v>DA+9</v>
      </c>
      <c r="E263" s="270" t="s">
        <v>405</v>
      </c>
      <c r="F263" s="271" t="s">
        <v>685</v>
      </c>
      <c r="H263" s="160">
        <v>1</v>
      </c>
      <c r="I263" s="159">
        <v>1</v>
      </c>
      <c r="K263" s="160">
        <v>1</v>
      </c>
      <c r="L263" s="159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14">
        <v>45544</v>
      </c>
      <c r="C264" s="117" t="s">
        <v>477</v>
      </c>
      <c r="D264" s="3" t="str">
        <f>VLOOKUP(C264,'Location Summary'!$C$4:$D$602,2,0)</f>
        <v>DA-1.5</v>
      </c>
      <c r="E264" s="270" t="s">
        <v>405</v>
      </c>
      <c r="F264" s="271" t="s">
        <v>685</v>
      </c>
      <c r="M264" s="161">
        <v>1</v>
      </c>
      <c r="Q264" s="160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14">
        <v>45544</v>
      </c>
      <c r="C265" s="117" t="s">
        <v>588</v>
      </c>
      <c r="D265" s="3" t="str">
        <f>VLOOKUP(C265,'Location Summary'!$C$4:$D$602,2,0)</f>
        <v>DA+3</v>
      </c>
      <c r="E265" s="270" t="s">
        <v>405</v>
      </c>
      <c r="F265" s="271" t="s">
        <v>685</v>
      </c>
      <c r="N265" s="160">
        <v>1</v>
      </c>
      <c r="Q265" s="160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14">
        <v>45545</v>
      </c>
      <c r="C266" s="117" t="s">
        <v>432</v>
      </c>
      <c r="D266" s="3" t="str">
        <f>VLOOKUP(C266,'Location Summary'!$C$4:$D$602,2,0)</f>
        <v>DA+6</v>
      </c>
      <c r="E266" s="270" t="s">
        <v>405</v>
      </c>
      <c r="F266" s="271" t="s">
        <v>685</v>
      </c>
      <c r="P266" s="161">
        <v>1</v>
      </c>
      <c r="Q266" s="160">
        <v>1</v>
      </c>
      <c r="R266" s="159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14">
        <v>45545</v>
      </c>
      <c r="C267" s="117" t="s">
        <v>496</v>
      </c>
      <c r="D267" s="3" t="str">
        <f>VLOOKUP(C267,'Location Summary'!$C$4:$D$602,2,0)</f>
        <v>DA+3</v>
      </c>
      <c r="E267" s="270" t="s">
        <v>405</v>
      </c>
      <c r="F267" s="271" t="s">
        <v>685</v>
      </c>
      <c r="H267" s="160">
        <v>1</v>
      </c>
      <c r="I267" s="159">
        <v>1</v>
      </c>
      <c r="L267" s="159">
        <v>1</v>
      </c>
      <c r="R267" s="159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14">
        <v>45545</v>
      </c>
      <c r="C268" s="117" t="s">
        <v>477</v>
      </c>
      <c r="D268" s="3" t="str">
        <f>VLOOKUP(C268,'Location Summary'!$C$4:$D$602,2,0)</f>
        <v>DA-1.5</v>
      </c>
      <c r="E268" s="270" t="s">
        <v>405</v>
      </c>
      <c r="F268" s="271" t="s">
        <v>685</v>
      </c>
      <c r="N268" s="160">
        <v>1</v>
      </c>
      <c r="O268" s="159">
        <v>1</v>
      </c>
      <c r="R268" s="159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14">
        <v>45545</v>
      </c>
      <c r="C269" s="117" t="s">
        <v>588</v>
      </c>
      <c r="D269" s="3" t="str">
        <f>VLOOKUP(C269,'Location Summary'!$C$4:$D$602,2,0)</f>
        <v>DA+3</v>
      </c>
      <c r="E269" s="270" t="s">
        <v>405</v>
      </c>
      <c r="F269" s="271" t="s">
        <v>685</v>
      </c>
      <c r="O269" s="159">
        <v>1</v>
      </c>
      <c r="R269" s="159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4">
        <v>45546</v>
      </c>
      <c r="C270" s="117" t="s">
        <v>465</v>
      </c>
      <c r="D270" s="3" t="str">
        <f>VLOOKUP(C270,'Location Summary'!$C$4:$D$602,2,0)</f>
        <v>DA+9</v>
      </c>
      <c r="E270" s="270" t="s">
        <v>405</v>
      </c>
      <c r="F270" s="271" t="s">
        <v>685</v>
      </c>
      <c r="H270" s="160">
        <v>1</v>
      </c>
      <c r="J270" s="161">
        <v>1</v>
      </c>
      <c r="M270" s="161">
        <v>1</v>
      </c>
      <c r="Q270" s="160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14">
        <v>45546</v>
      </c>
      <c r="C271" s="117" t="s">
        <v>70</v>
      </c>
      <c r="D271" s="3" t="str">
        <f>VLOOKUP(C271,'Location Summary'!$C$4:$D$602,2,0)</f>
        <v>DA+3</v>
      </c>
      <c r="E271" s="270" t="s">
        <v>405</v>
      </c>
      <c r="F271" s="271" t="s">
        <v>685</v>
      </c>
      <c r="P271" s="161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14">
        <v>45546</v>
      </c>
      <c r="C272" s="117" t="s">
        <v>898</v>
      </c>
      <c r="D272" s="3" t="str">
        <f>VLOOKUP(C272,'Location Summary'!$C$4:$D$602,2,0)</f>
        <v>DA+9</v>
      </c>
      <c r="E272" s="270" t="s">
        <v>405</v>
      </c>
      <c r="F272" s="271" t="s">
        <v>685</v>
      </c>
      <c r="G272" s="161">
        <v>1</v>
      </c>
      <c r="H272" s="160">
        <v>1</v>
      </c>
      <c r="J272" s="161">
        <v>1</v>
      </c>
      <c r="M272" s="161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14">
        <v>45546</v>
      </c>
      <c r="C273" s="117" t="s">
        <v>477</v>
      </c>
      <c r="D273" s="3" t="str">
        <f>VLOOKUP(C273,'Location Summary'!$C$4:$D$602,2,0)</f>
        <v>DA-1.5</v>
      </c>
      <c r="E273" s="270" t="s">
        <v>405</v>
      </c>
      <c r="F273" s="271" t="s">
        <v>685</v>
      </c>
      <c r="G273" s="161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14">
        <v>45547</v>
      </c>
      <c r="C274" s="117" t="s">
        <v>465</v>
      </c>
      <c r="D274" s="3" t="str">
        <f>VLOOKUP(C274,'Location Summary'!$C$4:$D$602,2,0)</f>
        <v>DA+9</v>
      </c>
      <c r="E274" s="270" t="s">
        <v>405</v>
      </c>
      <c r="F274" s="271" t="s">
        <v>685</v>
      </c>
      <c r="I274" s="159">
        <v>1</v>
      </c>
      <c r="K274" s="160">
        <v>1</v>
      </c>
      <c r="L274" s="159">
        <v>1</v>
      </c>
      <c r="N274" s="160">
        <v>1</v>
      </c>
      <c r="O274" s="159">
        <v>1</v>
      </c>
      <c r="R274" s="159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14">
        <v>45547</v>
      </c>
      <c r="C275" s="117" t="s">
        <v>70</v>
      </c>
      <c r="D275" s="3" t="str">
        <f>VLOOKUP(C275,'Location Summary'!$C$4:$D$602,2,0)</f>
        <v>DA+3</v>
      </c>
      <c r="E275" s="270" t="s">
        <v>405</v>
      </c>
      <c r="F275" s="271" t="s">
        <v>685</v>
      </c>
      <c r="G275" s="161">
        <v>1</v>
      </c>
      <c r="J275" s="161">
        <v>1</v>
      </c>
      <c r="M275" s="161">
        <v>1</v>
      </c>
      <c r="N275" s="160">
        <v>1</v>
      </c>
      <c r="Q275" s="160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4">
        <v>45547</v>
      </c>
      <c r="C276" s="117" t="s">
        <v>898</v>
      </c>
      <c r="D276" s="3" t="str">
        <f>VLOOKUP(C276,'Location Summary'!$C$4:$D$602,2,0)</f>
        <v>DA+9</v>
      </c>
      <c r="E276" s="270" t="s">
        <v>405</v>
      </c>
      <c r="F276" s="271" t="s">
        <v>685</v>
      </c>
      <c r="I276" s="159">
        <v>1</v>
      </c>
      <c r="K276" s="160">
        <v>1</v>
      </c>
      <c r="L276" s="159">
        <v>1</v>
      </c>
      <c r="N276" s="160">
        <v>1</v>
      </c>
      <c r="O276" s="159">
        <v>1</v>
      </c>
      <c r="P276" s="161">
        <v>1</v>
      </c>
      <c r="Q276" s="160">
        <v>1</v>
      </c>
      <c r="R276" s="159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14">
        <v>45547</v>
      </c>
      <c r="C277" s="117" t="s">
        <v>477</v>
      </c>
      <c r="D277" s="3" t="str">
        <f>VLOOKUP(C277,'Location Summary'!$C$4:$D$602,2,0)</f>
        <v>DA-1.5</v>
      </c>
      <c r="E277" s="270" t="s">
        <v>405</v>
      </c>
      <c r="F277" s="271" t="s">
        <v>685</v>
      </c>
      <c r="H277" s="160">
        <v>1</v>
      </c>
      <c r="I277" s="159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14">
        <v>45547</v>
      </c>
      <c r="C278" s="117" t="s">
        <v>588</v>
      </c>
      <c r="D278" s="3" t="str">
        <f>VLOOKUP(C278,'Location Summary'!$C$4:$D$602,2,0)</f>
        <v>DA+3</v>
      </c>
      <c r="E278" s="270" t="s">
        <v>405</v>
      </c>
      <c r="F278" s="271" t="s">
        <v>685</v>
      </c>
      <c r="G278" s="161">
        <v>1</v>
      </c>
      <c r="J278" s="161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14">
        <v>45548</v>
      </c>
      <c r="C279" s="117" t="s">
        <v>70</v>
      </c>
      <c r="D279" s="3" t="str">
        <f>VLOOKUP(C279,'Location Summary'!$C$4:$D$602,2,0)</f>
        <v>DA+3</v>
      </c>
      <c r="E279" s="270" t="s">
        <v>405</v>
      </c>
      <c r="F279" s="271" t="s">
        <v>685</v>
      </c>
      <c r="H279" s="160">
        <v>1</v>
      </c>
      <c r="I279" s="159">
        <v>1</v>
      </c>
      <c r="K279" s="160">
        <v>1</v>
      </c>
      <c r="L279" s="159">
        <v>1</v>
      </c>
      <c r="O279" s="159">
        <v>1</v>
      </c>
      <c r="R279" s="159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14">
        <v>45548</v>
      </c>
      <c r="C280" s="117" t="s">
        <v>588</v>
      </c>
      <c r="D280" s="3" t="str">
        <f>VLOOKUP(C280,'Location Summary'!$C$4:$D$602,2,0)</f>
        <v>DA+3</v>
      </c>
      <c r="E280" s="270" t="s">
        <v>405</v>
      </c>
      <c r="F280" s="271" t="s">
        <v>685</v>
      </c>
      <c r="H280" s="160">
        <v>1</v>
      </c>
      <c r="I280" s="159">
        <v>1</v>
      </c>
      <c r="K280" s="160">
        <v>1</v>
      </c>
      <c r="L280" s="159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14">
        <v>45549</v>
      </c>
      <c r="C281" s="117" t="s">
        <v>464</v>
      </c>
      <c r="D281" s="3" t="str">
        <f>VLOOKUP(C281,'Location Summary'!$C$4:$D$602,2,0)</f>
        <v>DA+3</v>
      </c>
      <c r="E281" s="270" t="s">
        <v>405</v>
      </c>
      <c r="F281" s="271" t="s">
        <v>685</v>
      </c>
      <c r="G281" s="161">
        <v>1</v>
      </c>
      <c r="J281" s="161">
        <v>1</v>
      </c>
      <c r="M281" s="161">
        <v>1</v>
      </c>
      <c r="P281" s="161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14">
        <v>45549</v>
      </c>
      <c r="C282" s="117" t="s">
        <v>577</v>
      </c>
      <c r="D282" s="3" t="str">
        <f>VLOOKUP(C282,'Location Summary'!$C$4:$D$602,2,0)</f>
        <v>DA+9</v>
      </c>
      <c r="E282" s="270" t="s">
        <v>405</v>
      </c>
      <c r="F282" s="271" t="s">
        <v>685</v>
      </c>
      <c r="G282" s="161">
        <v>1</v>
      </c>
      <c r="J282" s="161">
        <v>1</v>
      </c>
      <c r="P282" s="161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14">
        <v>45549</v>
      </c>
      <c r="C283" s="117" t="s">
        <v>1072</v>
      </c>
      <c r="D283" s="3" t="str">
        <f>VLOOKUP(C283,'Location Summary'!$C$4:$D$602,2,0)</f>
        <v>DA+3</v>
      </c>
      <c r="E283" s="270" t="s">
        <v>405</v>
      </c>
      <c r="F283" s="271" t="s">
        <v>685</v>
      </c>
      <c r="H283" s="160">
        <v>1</v>
      </c>
      <c r="I283" s="159">
        <v>1</v>
      </c>
      <c r="N283" s="160">
        <v>1</v>
      </c>
      <c r="O283" s="159">
        <v>1</v>
      </c>
      <c r="Q283" s="160">
        <v>1</v>
      </c>
      <c r="R283" s="159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14">
        <v>45549</v>
      </c>
      <c r="C284" s="117" t="s">
        <v>894</v>
      </c>
      <c r="D284" s="3" t="str">
        <f>VLOOKUP(C284,'Location Summary'!$C$4:$D$602,2,0)</f>
        <v>DA+6</v>
      </c>
      <c r="E284" s="270" t="s">
        <v>405</v>
      </c>
      <c r="F284" s="271" t="s">
        <v>685</v>
      </c>
      <c r="J284" s="161">
        <v>1</v>
      </c>
      <c r="M284" s="161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4">
        <v>45549</v>
      </c>
      <c r="C285" s="117" t="s">
        <v>477</v>
      </c>
      <c r="D285" s="3" t="str">
        <f>VLOOKUP(C285,'Location Summary'!$C$4:$D$602,2,0)</f>
        <v>DA-1.5</v>
      </c>
      <c r="E285" s="270" t="s">
        <v>405</v>
      </c>
      <c r="F285" s="271" t="s">
        <v>685</v>
      </c>
      <c r="J285" s="161">
        <v>1</v>
      </c>
      <c r="K285" s="160">
        <v>1</v>
      </c>
      <c r="L285" s="159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14">
        <v>45550</v>
      </c>
      <c r="C286" s="117" t="s">
        <v>464</v>
      </c>
      <c r="D286" s="3" t="str">
        <f>VLOOKUP(C286,'Location Summary'!$C$4:$D$602,2,0)</f>
        <v>DA+3</v>
      </c>
      <c r="E286" s="270" t="s">
        <v>405</v>
      </c>
      <c r="F286" s="271" t="s">
        <v>685</v>
      </c>
      <c r="H286" s="160">
        <v>1</v>
      </c>
      <c r="I286" s="159">
        <v>1</v>
      </c>
      <c r="K286" s="160">
        <v>1</v>
      </c>
      <c r="L286" s="159">
        <v>1</v>
      </c>
      <c r="N286" s="160">
        <v>1</v>
      </c>
      <c r="O286" s="159">
        <v>1</v>
      </c>
      <c r="Q286" s="160">
        <v>1</v>
      </c>
      <c r="R286" s="159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14">
        <v>45550</v>
      </c>
      <c r="C287" s="117" t="s">
        <v>577</v>
      </c>
      <c r="D287" s="3" t="str">
        <f>VLOOKUP(C287,'Location Summary'!$C$4:$D$602,2,0)</f>
        <v>DA+9</v>
      </c>
      <c r="E287" s="270" t="s">
        <v>405</v>
      </c>
      <c r="F287" s="271" t="s">
        <v>685</v>
      </c>
      <c r="H287" s="160">
        <v>1</v>
      </c>
      <c r="I287" s="159">
        <v>1</v>
      </c>
      <c r="K287" s="160">
        <v>1</v>
      </c>
      <c r="L287" s="159">
        <v>1</v>
      </c>
      <c r="M287" s="161">
        <v>1</v>
      </c>
      <c r="N287" s="160">
        <v>1</v>
      </c>
      <c r="O287" s="159">
        <v>1</v>
      </c>
      <c r="Q287" s="160">
        <v>1</v>
      </c>
      <c r="R287" s="159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14">
        <v>45550</v>
      </c>
      <c r="C288" s="117" t="s">
        <v>1072</v>
      </c>
      <c r="D288" s="3" t="str">
        <f>VLOOKUP(C288,'Location Summary'!$C$4:$D$602,2,0)</f>
        <v>DA+3</v>
      </c>
      <c r="E288" s="270" t="s">
        <v>405</v>
      </c>
      <c r="F288" s="271" t="s">
        <v>685</v>
      </c>
      <c r="J288" s="161">
        <v>1</v>
      </c>
      <c r="K288" s="160">
        <v>1</v>
      </c>
      <c r="L288" s="159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14">
        <v>45550</v>
      </c>
      <c r="C289" s="117" t="s">
        <v>894</v>
      </c>
      <c r="D289" s="3" t="str">
        <f>VLOOKUP(C289,'Location Summary'!$C$4:$D$602,2,0)</f>
        <v>DA+6</v>
      </c>
      <c r="E289" s="270" t="s">
        <v>405</v>
      </c>
      <c r="F289" s="271" t="s">
        <v>685</v>
      </c>
      <c r="G289" s="161">
        <v>1</v>
      </c>
      <c r="K289" s="160">
        <v>1</v>
      </c>
      <c r="L289" s="159">
        <v>1</v>
      </c>
      <c r="N289" s="160">
        <v>1</v>
      </c>
      <c r="O289" s="159">
        <v>1</v>
      </c>
      <c r="P289" s="161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14">
        <v>45550</v>
      </c>
      <c r="C290" s="117" t="s">
        <v>587</v>
      </c>
      <c r="D290" s="3" t="str">
        <f>VLOOKUP(C290,'Location Summary'!$C$4:$D$602,2,0)</f>
        <v>DA+1.5</v>
      </c>
      <c r="E290" s="270" t="s">
        <v>405</v>
      </c>
      <c r="F290" s="271" t="s">
        <v>685</v>
      </c>
      <c r="G290" s="161">
        <v>1</v>
      </c>
      <c r="J290" s="161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14">
        <v>45551</v>
      </c>
      <c r="C291" s="117" t="s">
        <v>62</v>
      </c>
      <c r="D291" s="3" t="str">
        <f>VLOOKUP(C291,'Location Summary'!$C$4:$D$602,2,0)</f>
        <v>DA-1.5</v>
      </c>
      <c r="E291" s="270" t="s">
        <v>405</v>
      </c>
      <c r="F291" s="271" t="s">
        <v>685</v>
      </c>
      <c r="J291" s="161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14">
        <v>45551</v>
      </c>
      <c r="C292" s="117" t="s">
        <v>894</v>
      </c>
      <c r="D292" s="3" t="str">
        <f>VLOOKUP(C292,'Location Summary'!$C$4:$D$602,2,0)</f>
        <v>DA+6</v>
      </c>
      <c r="E292" s="270" t="s">
        <v>405</v>
      </c>
      <c r="F292" s="271" t="s">
        <v>685</v>
      </c>
      <c r="H292" s="160">
        <v>1</v>
      </c>
      <c r="I292" s="159">
        <v>1</v>
      </c>
      <c r="Q292" s="160">
        <v>1</v>
      </c>
      <c r="R292" s="159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14">
        <v>45551</v>
      </c>
      <c r="C293" s="117" t="s">
        <v>587</v>
      </c>
      <c r="D293" s="3" t="str">
        <f>VLOOKUP(C293,'Location Summary'!$C$4:$D$602,2,0)</f>
        <v>DA+1.5</v>
      </c>
      <c r="E293" s="270" t="s">
        <v>405</v>
      </c>
      <c r="F293" s="271" t="s">
        <v>685</v>
      </c>
      <c r="H293" s="160">
        <v>1</v>
      </c>
      <c r="I293" s="159">
        <v>1</v>
      </c>
      <c r="Q293" s="160">
        <v>1</v>
      </c>
      <c r="R293" s="159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14">
        <v>45551</v>
      </c>
      <c r="C294" s="117" t="s">
        <v>1073</v>
      </c>
      <c r="D294" s="3" t="e">
        <f>VLOOKUP(C294,'Location Summary'!$C$4:$D$602,2,0)</f>
        <v>#N/A</v>
      </c>
      <c r="E294" s="270" t="s">
        <v>405</v>
      </c>
      <c r="F294" s="271" t="s">
        <v>685</v>
      </c>
      <c r="J294" s="161">
        <v>1</v>
      </c>
      <c r="M294" s="161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14">
        <v>45552</v>
      </c>
      <c r="C295" s="117" t="s">
        <v>62</v>
      </c>
      <c r="D295" s="3" t="str">
        <f>VLOOKUP(C295,'Location Summary'!$C$4:$D$602,2,0)</f>
        <v>DA-1.5</v>
      </c>
      <c r="E295" s="270" t="s">
        <v>405</v>
      </c>
      <c r="F295" s="271" t="s">
        <v>685</v>
      </c>
      <c r="K295" s="160">
        <v>1</v>
      </c>
      <c r="P295" s="161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14">
        <v>45552</v>
      </c>
      <c r="C296" s="117" t="s">
        <v>579</v>
      </c>
      <c r="D296" s="3" t="str">
        <f>VLOOKUP(C296,'Location Summary'!$C$4:$D$602,2,0)</f>
        <v>DA+1.5</v>
      </c>
      <c r="E296" s="270" t="s">
        <v>405</v>
      </c>
      <c r="F296" s="271" t="s">
        <v>685</v>
      </c>
      <c r="J296" s="161">
        <v>1</v>
      </c>
      <c r="M296" s="161">
        <v>1</v>
      </c>
      <c r="P296" s="161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14">
        <v>45552</v>
      </c>
      <c r="C297" s="117" t="s">
        <v>1073</v>
      </c>
      <c r="D297" s="3" t="e">
        <f>VLOOKUP(C297,'Location Summary'!$C$4:$D$602,2,0)</f>
        <v>#N/A</v>
      </c>
      <c r="E297" s="270" t="s">
        <v>405</v>
      </c>
      <c r="F297" s="271" t="s">
        <v>685</v>
      </c>
      <c r="G297" s="161">
        <v>1</v>
      </c>
      <c r="K297" s="160">
        <v>1</v>
      </c>
      <c r="N297" s="160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14">
        <v>45553</v>
      </c>
      <c r="C298" s="117" t="s">
        <v>470</v>
      </c>
      <c r="D298" s="3" t="str">
        <f>VLOOKUP(C298,'Location Summary'!$C$4:$D$602,2,0)</f>
        <v>DA+9</v>
      </c>
      <c r="E298" s="270" t="s">
        <v>405</v>
      </c>
      <c r="F298" s="271" t="s">
        <v>685</v>
      </c>
      <c r="G298" s="161">
        <v>1</v>
      </c>
      <c r="M298" s="161">
        <v>1</v>
      </c>
      <c r="P298" s="161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14">
        <v>45553</v>
      </c>
      <c r="C299" s="117" t="s">
        <v>62</v>
      </c>
      <c r="D299" s="3" t="str">
        <f>VLOOKUP(C299,'Location Summary'!$C$4:$D$602,2,0)</f>
        <v>DA-1.5</v>
      </c>
      <c r="E299" s="270" t="s">
        <v>405</v>
      </c>
      <c r="F299" s="271" t="s">
        <v>685</v>
      </c>
      <c r="L299" s="159">
        <v>1</v>
      </c>
      <c r="Q299" s="160">
        <v>1</v>
      </c>
      <c r="R299" s="159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14">
        <v>45553</v>
      </c>
      <c r="C300" s="117" t="s">
        <v>579</v>
      </c>
      <c r="D300" s="3" t="str">
        <f>VLOOKUP(C300,'Location Summary'!$C$4:$D$602,2,0)</f>
        <v>DA+1.5</v>
      </c>
      <c r="E300" s="270" t="s">
        <v>405</v>
      </c>
      <c r="F300" s="271" t="s">
        <v>685</v>
      </c>
      <c r="H300" s="160">
        <v>1</v>
      </c>
      <c r="I300" s="159">
        <v>1</v>
      </c>
      <c r="K300" s="160">
        <v>1</v>
      </c>
      <c r="L300" s="159">
        <v>1</v>
      </c>
      <c r="N300" s="160">
        <v>1</v>
      </c>
      <c r="O300" s="159">
        <v>1</v>
      </c>
      <c r="Q300" s="160">
        <v>1</v>
      </c>
      <c r="R300" s="159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14">
        <v>45553</v>
      </c>
      <c r="C301" s="117" t="s">
        <v>1073</v>
      </c>
      <c r="D301" s="3" t="e">
        <f>VLOOKUP(C301,'Location Summary'!$C$4:$D$602,2,0)</f>
        <v>#N/A</v>
      </c>
      <c r="E301" s="270" t="s">
        <v>405</v>
      </c>
      <c r="F301" s="271" t="s">
        <v>685</v>
      </c>
      <c r="H301" s="160">
        <v>1</v>
      </c>
      <c r="I301" s="159">
        <v>1</v>
      </c>
      <c r="L301" s="159">
        <v>1</v>
      </c>
      <c r="O301" s="159">
        <v>1</v>
      </c>
      <c r="P301" s="161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14">
        <v>45553</v>
      </c>
      <c r="C302" s="117" t="s">
        <v>587</v>
      </c>
      <c r="D302" s="3" t="str">
        <f>VLOOKUP(C302,'Location Summary'!$C$4:$D$602,2,0)</f>
        <v>DA+1.5</v>
      </c>
      <c r="E302" s="270" t="s">
        <v>405</v>
      </c>
      <c r="F302" s="271" t="s">
        <v>685</v>
      </c>
      <c r="P302" s="161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14">
        <v>45554</v>
      </c>
      <c r="C303" s="117" t="s">
        <v>470</v>
      </c>
      <c r="D303" s="3" t="str">
        <f>VLOOKUP(C303,'Location Summary'!$C$4:$D$602,2,0)</f>
        <v>DA+9</v>
      </c>
      <c r="E303" s="270" t="s">
        <v>405</v>
      </c>
      <c r="F303" s="271" t="s">
        <v>685</v>
      </c>
      <c r="H303" s="160">
        <v>1</v>
      </c>
      <c r="I303" s="159">
        <v>1</v>
      </c>
      <c r="J303" s="161">
        <v>1</v>
      </c>
      <c r="N303" s="160">
        <v>1</v>
      </c>
      <c r="O303" s="159">
        <v>1</v>
      </c>
      <c r="Q303" s="160">
        <v>1</v>
      </c>
      <c r="R303" s="159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14">
        <v>45554</v>
      </c>
      <c r="C304" s="117" t="s">
        <v>62</v>
      </c>
      <c r="D304" s="3" t="str">
        <f>VLOOKUP(C304,'Location Summary'!$C$4:$D$602,2,0)</f>
        <v>DA-1.5</v>
      </c>
      <c r="E304" s="270" t="s">
        <v>405</v>
      </c>
      <c r="F304" s="271" t="s">
        <v>685</v>
      </c>
      <c r="G304" s="161">
        <v>1</v>
      </c>
      <c r="M304" s="161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14">
        <v>45554</v>
      </c>
      <c r="C305" s="117" t="s">
        <v>1073</v>
      </c>
      <c r="D305" s="3" t="e">
        <f>VLOOKUP(C305,'Location Summary'!$C$4:$D$602,2,0)</f>
        <v>#N/A</v>
      </c>
      <c r="E305" s="270" t="s">
        <v>405</v>
      </c>
      <c r="F305" s="271" t="s">
        <v>685</v>
      </c>
      <c r="Q305" s="160">
        <v>1</v>
      </c>
      <c r="R305" s="159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14">
        <v>45554</v>
      </c>
      <c r="C306" s="117" t="s">
        <v>476</v>
      </c>
      <c r="D306" s="3" t="str">
        <f>VLOOKUP(C306,'Location Summary'!$C$4:$D$602,2,0)</f>
        <v>DA+1.5</v>
      </c>
      <c r="E306" s="270" t="s">
        <v>405</v>
      </c>
      <c r="F306" s="271" t="s">
        <v>685</v>
      </c>
      <c r="M306" s="161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14">
        <v>45554</v>
      </c>
      <c r="C307" s="117" t="s">
        <v>587</v>
      </c>
      <c r="D307" s="3" t="str">
        <f>VLOOKUP(C307,'Location Summary'!$C$4:$D$602,2,0)</f>
        <v>DA+1.5</v>
      </c>
      <c r="E307" s="270" t="s">
        <v>405</v>
      </c>
      <c r="F307" s="271" t="s">
        <v>685</v>
      </c>
      <c r="K307" s="160">
        <v>1</v>
      </c>
      <c r="L307" s="159">
        <v>1</v>
      </c>
      <c r="M307" s="161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14">
        <v>45555</v>
      </c>
      <c r="C308" s="117" t="s">
        <v>470</v>
      </c>
      <c r="D308" s="3" t="str">
        <f>VLOOKUP(C308,'Location Summary'!$C$4:$D$602,2,0)</f>
        <v>DA+9</v>
      </c>
      <c r="E308" s="270" t="s">
        <v>405</v>
      </c>
      <c r="F308" s="271" t="s">
        <v>685</v>
      </c>
      <c r="K308" s="160">
        <v>1</v>
      </c>
      <c r="L308" s="159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14">
        <v>45555</v>
      </c>
      <c r="C309" s="117" t="s">
        <v>62</v>
      </c>
      <c r="D309" s="3" t="str">
        <f>VLOOKUP(C309,'Location Summary'!$C$4:$D$602,2,0)</f>
        <v>DA-1.5</v>
      </c>
      <c r="E309" s="270" t="s">
        <v>405</v>
      </c>
      <c r="F309" s="271" t="s">
        <v>685</v>
      </c>
      <c r="H309" s="160">
        <v>1</v>
      </c>
      <c r="I309" s="159">
        <v>1</v>
      </c>
      <c r="N309" s="160">
        <v>1</v>
      </c>
      <c r="O309" s="159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14">
        <v>45555</v>
      </c>
      <c r="C310" s="117" t="s">
        <v>580</v>
      </c>
      <c r="D310" s="3" t="str">
        <f>VLOOKUP(C310,'Location Summary'!$C$4:$D$602,2,0)</f>
        <v>DA+6</v>
      </c>
      <c r="E310" s="270" t="s">
        <v>405</v>
      </c>
      <c r="F310" s="271" t="s">
        <v>685</v>
      </c>
      <c r="G310" s="161">
        <v>1</v>
      </c>
      <c r="J310" s="161">
        <v>1</v>
      </c>
      <c r="M310" s="161">
        <v>1</v>
      </c>
      <c r="P310" s="161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14">
        <v>45555</v>
      </c>
      <c r="C311" s="117" t="s">
        <v>893</v>
      </c>
      <c r="D311" s="3" t="str">
        <f>VLOOKUP(C311,'Location Summary'!$C$4:$D$602,2,0)</f>
        <v>DA+6</v>
      </c>
      <c r="E311" s="270" t="s">
        <v>405</v>
      </c>
      <c r="F311" s="271" t="s">
        <v>685</v>
      </c>
      <c r="J311" s="161">
        <v>1</v>
      </c>
      <c r="M311" s="161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14">
        <v>45555</v>
      </c>
      <c r="C312" s="117" t="s">
        <v>476</v>
      </c>
      <c r="D312" s="3" t="str">
        <f>VLOOKUP(C312,'Location Summary'!$C$4:$D$602,2,0)</f>
        <v>DA+1.5</v>
      </c>
      <c r="E312" s="270" t="s">
        <v>405</v>
      </c>
      <c r="F312" s="271" t="s">
        <v>685</v>
      </c>
      <c r="J312" s="161">
        <v>1</v>
      </c>
      <c r="K312" s="160">
        <v>1</v>
      </c>
      <c r="N312" s="160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14">
        <v>45555</v>
      </c>
      <c r="C313" s="117" t="s">
        <v>587</v>
      </c>
      <c r="D313" s="3" t="str">
        <f>VLOOKUP(C313,'Location Summary'!$C$4:$D$602,2,0)</f>
        <v>DA+1.5</v>
      </c>
      <c r="E313" s="270" t="s">
        <v>405</v>
      </c>
      <c r="F313" s="271" t="s">
        <v>685</v>
      </c>
      <c r="N313" s="160">
        <v>1</v>
      </c>
      <c r="O313" s="159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14">
        <v>45555</v>
      </c>
      <c r="C314" s="117" t="s">
        <v>460</v>
      </c>
      <c r="D314" s="3" t="str">
        <f>VLOOKUP(C314,'Location Summary'!$C$4:$D$602,2,0)</f>
        <v>DA+9</v>
      </c>
      <c r="E314" s="270" t="s">
        <v>405</v>
      </c>
      <c r="F314" s="271" t="s">
        <v>685</v>
      </c>
      <c r="G314" s="161">
        <v>1</v>
      </c>
      <c r="J314" s="161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14">
        <v>45556</v>
      </c>
      <c r="C315" s="117" t="s">
        <v>472</v>
      </c>
      <c r="D315" s="3" t="str">
        <f>VLOOKUP(C315,'Location Summary'!$C$4:$D$602,2,0)</f>
        <v>DA-3</v>
      </c>
      <c r="E315" s="270" t="s">
        <v>405</v>
      </c>
      <c r="F315" s="271" t="s">
        <v>685</v>
      </c>
      <c r="G315" s="161">
        <v>1</v>
      </c>
      <c r="J315" s="161">
        <v>1</v>
      </c>
      <c r="M315" s="161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14">
        <v>45556</v>
      </c>
      <c r="C316" s="117" t="s">
        <v>580</v>
      </c>
      <c r="D316" s="3" t="str">
        <f>VLOOKUP(C316,'Location Summary'!$C$4:$D$602,2,0)</f>
        <v>DA+6</v>
      </c>
      <c r="E316" s="270" t="s">
        <v>405</v>
      </c>
      <c r="F316" s="271" t="s">
        <v>685</v>
      </c>
      <c r="H316" s="160">
        <v>1</v>
      </c>
      <c r="I316" s="159">
        <v>1</v>
      </c>
      <c r="K316" s="160">
        <v>1</v>
      </c>
      <c r="L316" s="159">
        <v>1</v>
      </c>
      <c r="N316" s="160">
        <v>1</v>
      </c>
      <c r="O316" s="159">
        <v>1</v>
      </c>
      <c r="Q316" s="160">
        <v>1</v>
      </c>
      <c r="R316" s="159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14">
        <v>45556</v>
      </c>
      <c r="C317" s="117" t="s">
        <v>603</v>
      </c>
      <c r="D317" s="3" t="e">
        <f>VLOOKUP(C317,'Location Summary'!$C$4:$D$602,2,0)</f>
        <v>#N/A</v>
      </c>
      <c r="E317" s="270" t="s">
        <v>405</v>
      </c>
      <c r="F317" s="271" t="s">
        <v>685</v>
      </c>
      <c r="G317" s="161">
        <v>1</v>
      </c>
      <c r="J317" s="161">
        <v>1</v>
      </c>
      <c r="M317" s="161">
        <v>1</v>
      </c>
      <c r="P317" s="161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14">
        <v>45556</v>
      </c>
      <c r="C318" s="117" t="s">
        <v>893</v>
      </c>
      <c r="D318" s="3" t="str">
        <f>VLOOKUP(C318,'Location Summary'!$C$4:$D$602,2,0)</f>
        <v>DA+6</v>
      </c>
      <c r="E318" s="270" t="s">
        <v>405</v>
      </c>
      <c r="F318" s="271" t="s">
        <v>685</v>
      </c>
      <c r="G318" s="161">
        <v>1</v>
      </c>
      <c r="H318" s="160">
        <v>1</v>
      </c>
      <c r="I318" s="159">
        <v>1</v>
      </c>
      <c r="K318" s="160">
        <v>1</v>
      </c>
      <c r="L318" s="159">
        <v>1</v>
      </c>
      <c r="N318" s="160">
        <v>1</v>
      </c>
      <c r="O318" s="159">
        <v>1</v>
      </c>
      <c r="P318" s="161">
        <v>1</v>
      </c>
      <c r="Q318" s="160">
        <v>1</v>
      </c>
      <c r="R318" s="159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14">
        <v>45557</v>
      </c>
      <c r="C319" s="117" t="s">
        <v>472</v>
      </c>
      <c r="D319" s="3" t="str">
        <f>VLOOKUP(C319,'Location Summary'!$C$4:$D$602,2,0)</f>
        <v>DA-3</v>
      </c>
      <c r="E319" s="270" t="s">
        <v>405</v>
      </c>
      <c r="F319" s="271" t="s">
        <v>685</v>
      </c>
      <c r="H319" s="160">
        <v>1</v>
      </c>
      <c r="I319" s="159">
        <v>1</v>
      </c>
      <c r="K319" s="160">
        <v>1</v>
      </c>
      <c r="L319" s="159">
        <v>1</v>
      </c>
      <c r="N319" s="160">
        <v>1</v>
      </c>
      <c r="P319" s="161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14">
        <v>45557</v>
      </c>
      <c r="C320" s="117" t="s">
        <v>581</v>
      </c>
      <c r="D320" s="3" t="str">
        <f>VLOOKUP(C320,'Location Summary'!$C$4:$D$602,2,0)</f>
        <v>DA+9</v>
      </c>
      <c r="E320" s="270" t="s">
        <v>405</v>
      </c>
      <c r="F320" s="271" t="s">
        <v>685</v>
      </c>
      <c r="G320" s="161">
        <v>1</v>
      </c>
      <c r="J320" s="161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14">
        <v>45557</v>
      </c>
      <c r="C321" s="117" t="s">
        <v>603</v>
      </c>
      <c r="D321" s="3" t="e">
        <f>VLOOKUP(C321,'Location Summary'!$C$4:$D$602,2,0)</f>
        <v>#N/A</v>
      </c>
      <c r="E321" s="270" t="s">
        <v>405</v>
      </c>
      <c r="F321" s="271" t="s">
        <v>685</v>
      </c>
      <c r="H321" s="160">
        <v>1</v>
      </c>
      <c r="I321" s="159">
        <v>1</v>
      </c>
      <c r="K321" s="160">
        <v>1</v>
      </c>
      <c r="N321" s="160">
        <v>1</v>
      </c>
      <c r="Q321" s="160">
        <v>1</v>
      </c>
      <c r="R321" s="159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14">
        <v>45557</v>
      </c>
      <c r="C322" s="117" t="s">
        <v>476</v>
      </c>
      <c r="D322" s="3" t="str">
        <f>VLOOKUP(C322,'Location Summary'!$C$4:$D$602,2,0)</f>
        <v>DA+1.5</v>
      </c>
      <c r="E322" s="270" t="s">
        <v>405</v>
      </c>
      <c r="F322" s="271" t="s">
        <v>685</v>
      </c>
      <c r="G322" s="161">
        <v>1</v>
      </c>
      <c r="L322" s="159">
        <v>1</v>
      </c>
      <c r="O322" s="159">
        <v>1</v>
      </c>
      <c r="P322" s="161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14">
        <v>45557</v>
      </c>
      <c r="C323" s="117" t="s">
        <v>460</v>
      </c>
      <c r="D323" s="3" t="str">
        <f>VLOOKUP(C323,'Location Summary'!$C$4:$D$602,2,0)</f>
        <v>DA+9</v>
      </c>
      <c r="E323" s="270" t="s">
        <v>405</v>
      </c>
      <c r="F323" s="271" t="s">
        <v>685</v>
      </c>
      <c r="H323" s="160">
        <v>1</v>
      </c>
      <c r="I323" s="159">
        <v>1</v>
      </c>
      <c r="K323" s="160">
        <v>1</v>
      </c>
      <c r="L323" s="159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4">
        <v>45558</v>
      </c>
      <c r="C324" s="117" t="s">
        <v>472</v>
      </c>
      <c r="D324" s="3" t="str">
        <f>VLOOKUP(C324,'Location Summary'!$C$4:$D$602,2,0)</f>
        <v>DA-3</v>
      </c>
      <c r="E324" s="270" t="s">
        <v>405</v>
      </c>
      <c r="F324" s="271" t="s">
        <v>685</v>
      </c>
      <c r="O324" s="159">
        <v>1</v>
      </c>
      <c r="Q324" s="160">
        <v>1</v>
      </c>
      <c r="R324" s="159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14">
        <v>45558</v>
      </c>
      <c r="C325" s="117" t="s">
        <v>61</v>
      </c>
      <c r="D325" s="3" t="str">
        <f>VLOOKUP(C325,'Location Summary'!$C$4:$D$602,2,0)</f>
        <v>DA+9</v>
      </c>
      <c r="E325" s="270" t="s">
        <v>405</v>
      </c>
      <c r="F325" s="271" t="s">
        <v>685</v>
      </c>
      <c r="M325" s="161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14">
        <v>45558</v>
      </c>
      <c r="C326" s="117" t="s">
        <v>581</v>
      </c>
      <c r="D326" s="3" t="str">
        <f>VLOOKUP(C326,'Location Summary'!$C$4:$D$602,2,0)</f>
        <v>DA+9</v>
      </c>
      <c r="E326" s="270" t="s">
        <v>405</v>
      </c>
      <c r="F326" s="271" t="s">
        <v>685</v>
      </c>
      <c r="H326" s="160">
        <v>1</v>
      </c>
      <c r="K326" s="160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14">
        <v>45558</v>
      </c>
      <c r="C327" s="117" t="s">
        <v>603</v>
      </c>
      <c r="D327" s="3" t="e">
        <f>VLOOKUP(C327,'Location Summary'!$C$4:$D$602,2,0)</f>
        <v>#N/A</v>
      </c>
      <c r="E327" s="270" t="s">
        <v>405</v>
      </c>
      <c r="F327" s="271" t="s">
        <v>685</v>
      </c>
      <c r="L327" s="159">
        <v>1</v>
      </c>
      <c r="O327" s="159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14">
        <v>45558</v>
      </c>
      <c r="C328" s="117" t="s">
        <v>590</v>
      </c>
      <c r="D328" s="3" t="str">
        <f>VLOOKUP(C328,'Location Summary'!$C$4:$D$602,2,0)</f>
        <v>DA+6</v>
      </c>
      <c r="E328" s="270" t="s">
        <v>405</v>
      </c>
      <c r="F328" s="271" t="s">
        <v>685</v>
      </c>
      <c r="G328" s="161">
        <v>1</v>
      </c>
      <c r="H328" s="160">
        <v>1</v>
      </c>
      <c r="P328" s="161">
        <v>1</v>
      </c>
      <c r="Q328" s="160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14">
        <v>45558</v>
      </c>
      <c r="C329" s="117" t="s">
        <v>460</v>
      </c>
      <c r="D329" s="3" t="str">
        <f>VLOOKUP(C329,'Location Summary'!$C$4:$D$602,2,0)</f>
        <v>DA+9</v>
      </c>
      <c r="E329" s="270" t="s">
        <v>405</v>
      </c>
      <c r="F329" s="271" t="s">
        <v>685</v>
      </c>
      <c r="M329" s="161">
        <v>1</v>
      </c>
      <c r="N329" s="160">
        <v>1</v>
      </c>
      <c r="O329" s="159">
        <v>1</v>
      </c>
      <c r="P329" s="161">
        <v>1</v>
      </c>
      <c r="Q329" s="160">
        <v>1</v>
      </c>
      <c r="R329" s="159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14">
        <v>45559</v>
      </c>
      <c r="C330" s="117" t="s">
        <v>61</v>
      </c>
      <c r="D330" s="3" t="str">
        <f>VLOOKUP(C330,'Location Summary'!$C$4:$D$602,2,0)</f>
        <v>DA+9</v>
      </c>
      <c r="E330" s="270" t="s">
        <v>405</v>
      </c>
      <c r="F330" s="271" t="s">
        <v>685</v>
      </c>
      <c r="J330" s="161">
        <v>1</v>
      </c>
      <c r="N330" s="160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4">
        <v>45559</v>
      </c>
      <c r="C331" s="117" t="s">
        <v>581</v>
      </c>
      <c r="D331" s="3" t="str">
        <f>VLOOKUP(C331,'Location Summary'!$C$4:$D$602,2,0)</f>
        <v>DA+9</v>
      </c>
      <c r="E331" s="270" t="s">
        <v>405</v>
      </c>
      <c r="F331" s="271" t="s">
        <v>685</v>
      </c>
      <c r="I331" s="159">
        <v>1</v>
      </c>
      <c r="J331" s="161">
        <v>1</v>
      </c>
      <c r="L331" s="159">
        <v>1</v>
      </c>
      <c r="M331" s="161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14">
        <v>45559</v>
      </c>
      <c r="C332" s="117" t="s">
        <v>590</v>
      </c>
      <c r="D332" s="3" t="str">
        <f>VLOOKUP(C332,'Location Summary'!$C$4:$D$602,2,0)</f>
        <v>DA+6</v>
      </c>
      <c r="E332" s="270" t="s">
        <v>405</v>
      </c>
      <c r="F332" s="271" t="s">
        <v>685</v>
      </c>
      <c r="I332" s="159">
        <v>1</v>
      </c>
      <c r="J332" s="161">
        <v>1</v>
      </c>
      <c r="R332" s="159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14">
        <v>45560</v>
      </c>
      <c r="C333" s="117" t="s">
        <v>61</v>
      </c>
      <c r="D333" s="3" t="str">
        <f>VLOOKUP(C333,'Location Summary'!$C$4:$D$602,2,0)</f>
        <v>DA+9</v>
      </c>
      <c r="E333" s="270" t="s">
        <v>405</v>
      </c>
      <c r="F333" s="271" t="s">
        <v>685</v>
      </c>
      <c r="K333" s="160">
        <v>1</v>
      </c>
      <c r="O333" s="159">
        <v>1</v>
      </c>
      <c r="P333" s="161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14">
        <v>45560</v>
      </c>
      <c r="C334" s="117" t="s">
        <v>581</v>
      </c>
      <c r="D334" s="3" t="str">
        <f>VLOOKUP(C334,'Location Summary'!$C$4:$D$602,2,0)</f>
        <v>DA+9</v>
      </c>
      <c r="E334" s="270" t="s">
        <v>405</v>
      </c>
      <c r="F334" s="271" t="s">
        <v>685</v>
      </c>
      <c r="O334" s="159">
        <v>1</v>
      </c>
      <c r="R334" s="159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14">
        <v>45560</v>
      </c>
      <c r="C335" s="117" t="s">
        <v>604</v>
      </c>
      <c r="D335" s="3" t="str">
        <f>VLOOKUP(C335,'Location Summary'!$C$4:$D$602,2,0)</f>
        <v>DA+3</v>
      </c>
      <c r="E335" s="270" t="s">
        <v>405</v>
      </c>
      <c r="F335" s="271" t="s">
        <v>685</v>
      </c>
      <c r="G335" s="161">
        <v>1</v>
      </c>
      <c r="J335" s="161">
        <v>1</v>
      </c>
      <c r="P335" s="161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14">
        <v>45560</v>
      </c>
      <c r="C336" s="117" t="s">
        <v>590</v>
      </c>
      <c r="D336" s="3" t="str">
        <f>VLOOKUP(C336,'Location Summary'!$C$4:$D$602,2,0)</f>
        <v>DA+6</v>
      </c>
      <c r="E336" s="270" t="s">
        <v>405</v>
      </c>
      <c r="F336" s="271" t="s">
        <v>685</v>
      </c>
      <c r="K336" s="160">
        <v>1</v>
      </c>
      <c r="L336" s="159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14">
        <v>45561</v>
      </c>
      <c r="C337" s="117" t="s">
        <v>261</v>
      </c>
      <c r="D337" s="3" t="str">
        <f>VLOOKUP(C337,'Location Summary'!$C$4:$D$602,2,0)</f>
        <v>DB2+0</v>
      </c>
      <c r="E337" s="270" t="s">
        <v>405</v>
      </c>
      <c r="F337" s="271" t="s">
        <v>685</v>
      </c>
      <c r="P337" s="161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4">
        <v>45561</v>
      </c>
      <c r="C338" s="117" t="s">
        <v>61</v>
      </c>
      <c r="D338" s="3" t="str">
        <f>VLOOKUP(C338,'Location Summary'!$C$4:$D$602,2,0)</f>
        <v>DA+9</v>
      </c>
      <c r="E338" s="270" t="s">
        <v>405</v>
      </c>
      <c r="F338" s="271" t="s">
        <v>685</v>
      </c>
      <c r="L338" s="159">
        <v>1</v>
      </c>
      <c r="Q338" s="160">
        <v>1</v>
      </c>
      <c r="R338" s="159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14">
        <v>45561</v>
      </c>
      <c r="C339" s="117" t="s">
        <v>582</v>
      </c>
      <c r="D339" s="3" t="str">
        <f>VLOOKUP(C339,'Location Summary'!$C$4:$D$602,2,0)</f>
        <v>DA+3</v>
      </c>
      <c r="E339" s="270" t="s">
        <v>405</v>
      </c>
      <c r="F339" s="271" t="s">
        <v>685</v>
      </c>
      <c r="G339" s="161">
        <v>1</v>
      </c>
      <c r="J339" s="161">
        <v>1</v>
      </c>
      <c r="P339" s="161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14">
        <v>45561</v>
      </c>
      <c r="C340" s="117" t="s">
        <v>604</v>
      </c>
      <c r="D340" s="3" t="str">
        <f>VLOOKUP(C340,'Location Summary'!$C$4:$D$602,2,0)</f>
        <v>DA+3</v>
      </c>
      <c r="E340" s="270" t="s">
        <v>405</v>
      </c>
      <c r="F340" s="271" t="s">
        <v>685</v>
      </c>
      <c r="H340" s="160">
        <v>1</v>
      </c>
      <c r="K340" s="160">
        <v>1</v>
      </c>
      <c r="M340" s="161">
        <v>1</v>
      </c>
      <c r="N340" s="160">
        <v>1</v>
      </c>
      <c r="Q340" s="160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14">
        <v>45561</v>
      </c>
      <c r="C341" s="117" t="s">
        <v>590</v>
      </c>
      <c r="D341" s="3" t="str">
        <f>VLOOKUP(C341,'Location Summary'!$C$4:$D$602,2,0)</f>
        <v>DA+6</v>
      </c>
      <c r="E341" s="270" t="s">
        <v>405</v>
      </c>
      <c r="F341" s="271" t="s">
        <v>685</v>
      </c>
      <c r="M341" s="161">
        <v>1</v>
      </c>
      <c r="N341" s="160">
        <v>1</v>
      </c>
      <c r="O341" s="159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14">
        <v>45561</v>
      </c>
      <c r="C342" s="117" t="s">
        <v>458</v>
      </c>
      <c r="D342" s="3" t="e">
        <f>VLOOKUP(C342,'Location Summary'!$C$4:$D$602,2,0)</f>
        <v>#N/A</v>
      </c>
      <c r="E342" s="270" t="s">
        <v>405</v>
      </c>
      <c r="F342" s="271" t="s">
        <v>685</v>
      </c>
      <c r="G342" s="161">
        <v>1</v>
      </c>
      <c r="H342" s="160">
        <v>1</v>
      </c>
      <c r="I342" s="159">
        <v>1</v>
      </c>
      <c r="J342" s="161">
        <v>1</v>
      </c>
      <c r="K342" s="160">
        <v>1</v>
      </c>
      <c r="L342" s="159">
        <v>1</v>
      </c>
      <c r="M342" s="161">
        <v>1</v>
      </c>
      <c r="N342" s="160">
        <v>1</v>
      </c>
      <c r="O342" s="159">
        <v>1</v>
      </c>
      <c r="P342" s="161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14">
        <v>45562</v>
      </c>
      <c r="C343" s="117" t="s">
        <v>261</v>
      </c>
      <c r="D343" s="3" t="str">
        <f>VLOOKUP(C343,'Location Summary'!$C$4:$D$602,2,0)</f>
        <v>DB2+0</v>
      </c>
      <c r="E343" s="270" t="s">
        <v>405</v>
      </c>
      <c r="F343" s="271" t="s">
        <v>685</v>
      </c>
      <c r="M343" s="161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14">
        <v>45562</v>
      </c>
      <c r="C344" s="117" t="s">
        <v>61</v>
      </c>
      <c r="D344" s="3" t="str">
        <f>VLOOKUP(C344,'Location Summary'!$C$4:$D$602,2,0)</f>
        <v>DA+9</v>
      </c>
      <c r="E344" s="270" t="s">
        <v>405</v>
      </c>
      <c r="F344" s="271" t="s">
        <v>685</v>
      </c>
      <c r="G344" s="161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14">
        <v>45562</v>
      </c>
      <c r="C345" s="117" t="s">
        <v>582</v>
      </c>
      <c r="D345" s="3" t="str">
        <f>VLOOKUP(C345,'Location Summary'!$C$4:$D$602,2,0)</f>
        <v>DA+3</v>
      </c>
      <c r="E345" s="270" t="s">
        <v>405</v>
      </c>
      <c r="F345" s="271" t="s">
        <v>685</v>
      </c>
      <c r="H345" s="160">
        <v>1</v>
      </c>
      <c r="I345" s="159">
        <v>1</v>
      </c>
      <c r="K345" s="160">
        <v>1</v>
      </c>
      <c r="L345" s="159">
        <v>1</v>
      </c>
      <c r="M345" s="161">
        <v>1</v>
      </c>
      <c r="Q345" s="160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14">
        <v>45562</v>
      </c>
      <c r="C346" s="117" t="s">
        <v>604</v>
      </c>
      <c r="D346" s="3" t="str">
        <f>VLOOKUP(C346,'Location Summary'!$C$4:$D$602,2,0)</f>
        <v>DA+3</v>
      </c>
      <c r="E346" s="270" t="s">
        <v>405</v>
      </c>
      <c r="F346" s="271" t="s">
        <v>685</v>
      </c>
      <c r="I346" s="159">
        <v>1</v>
      </c>
      <c r="L346" s="159">
        <v>1</v>
      </c>
      <c r="O346" s="159">
        <v>1</v>
      </c>
      <c r="R346" s="159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14">
        <v>45562</v>
      </c>
      <c r="C347" s="117" t="s">
        <v>476</v>
      </c>
      <c r="D347" s="3" t="str">
        <f>VLOOKUP(C347,'Location Summary'!$C$4:$D$602,2,0)</f>
        <v>DA+1.5</v>
      </c>
      <c r="E347" s="270" t="s">
        <v>405</v>
      </c>
      <c r="F347" s="271" t="s">
        <v>685</v>
      </c>
      <c r="H347" s="160">
        <v>1</v>
      </c>
      <c r="Q347" s="160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14">
        <v>45562</v>
      </c>
      <c r="C348" s="117" t="s">
        <v>458</v>
      </c>
      <c r="D348" s="3" t="e">
        <f>VLOOKUP(C348,'Location Summary'!$C$4:$D$602,2,0)</f>
        <v>#N/A</v>
      </c>
      <c r="E348" s="270" t="s">
        <v>405</v>
      </c>
      <c r="F348" s="271" t="s">
        <v>685</v>
      </c>
      <c r="Q348" s="160">
        <v>1</v>
      </c>
      <c r="R348" s="159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14">
        <v>45563</v>
      </c>
      <c r="C349" s="117" t="s">
        <v>261</v>
      </c>
      <c r="D349" s="3" t="str">
        <f>VLOOKUP(C349,'Location Summary'!$C$4:$D$602,2,0)</f>
        <v>DB2+0</v>
      </c>
      <c r="E349" s="270" t="s">
        <v>405</v>
      </c>
      <c r="F349" s="271" t="s">
        <v>685</v>
      </c>
      <c r="N349" s="160">
        <v>1</v>
      </c>
      <c r="Q349" s="160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14">
        <v>45563</v>
      </c>
      <c r="C350" s="117" t="s">
        <v>61</v>
      </c>
      <c r="D350" s="3" t="str">
        <f>VLOOKUP(C350,'Location Summary'!$C$4:$D$602,2,0)</f>
        <v>DA+9</v>
      </c>
      <c r="E350" s="270" t="s">
        <v>405</v>
      </c>
      <c r="F350" s="271" t="s">
        <v>685</v>
      </c>
      <c r="H350" s="160">
        <v>1</v>
      </c>
      <c r="I350" s="159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14">
        <v>45563</v>
      </c>
      <c r="C351" s="117" t="s">
        <v>582</v>
      </c>
      <c r="D351" s="3" t="str">
        <f>VLOOKUP(C351,'Location Summary'!$C$4:$D$602,2,0)</f>
        <v>DA+3</v>
      </c>
      <c r="E351" s="270" t="s">
        <v>405</v>
      </c>
      <c r="F351" s="271" t="s">
        <v>685</v>
      </c>
      <c r="N351" s="160">
        <v>1</v>
      </c>
      <c r="O351" s="159">
        <v>1</v>
      </c>
      <c r="R351" s="159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14">
        <v>45563</v>
      </c>
      <c r="C352" s="117" t="s">
        <v>605</v>
      </c>
      <c r="D352" s="3" t="str">
        <f>VLOOKUP(C352,'Location Summary'!$C$4:$D$602,2,0)</f>
        <v>DA-1.5</v>
      </c>
      <c r="E352" s="270" t="s">
        <v>405</v>
      </c>
      <c r="F352" s="271" t="s">
        <v>685</v>
      </c>
      <c r="G352" s="161">
        <v>1</v>
      </c>
      <c r="P352" s="161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14">
        <v>45564</v>
      </c>
      <c r="C353" s="117" t="s">
        <v>261</v>
      </c>
      <c r="D353" s="3" t="str">
        <f>VLOOKUP(C353,'Location Summary'!$C$4:$D$602,2,0)</f>
        <v>DB2+0</v>
      </c>
      <c r="E353" s="270" t="s">
        <v>405</v>
      </c>
      <c r="F353" s="271" t="s">
        <v>685</v>
      </c>
      <c r="J353" s="161">
        <v>1</v>
      </c>
      <c r="O353" s="159">
        <v>1</v>
      </c>
      <c r="R353" s="159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14">
        <v>45564</v>
      </c>
      <c r="C354" s="117" t="s">
        <v>584</v>
      </c>
      <c r="D354" s="3" t="str">
        <f>VLOOKUP(C354,'Location Summary'!$C$4:$D$602,2,0)</f>
        <v>DA+0</v>
      </c>
      <c r="E354" s="270" t="s">
        <v>405</v>
      </c>
      <c r="F354" s="271" t="s">
        <v>685</v>
      </c>
      <c r="G354" s="161">
        <v>1</v>
      </c>
      <c r="J354" s="161">
        <v>1</v>
      </c>
      <c r="M354" s="161">
        <v>1</v>
      </c>
      <c r="P354" s="161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14">
        <v>45564</v>
      </c>
      <c r="C355" s="117" t="s">
        <v>605</v>
      </c>
      <c r="D355" s="3" t="str">
        <f>VLOOKUP(C355,'Location Summary'!$C$4:$D$602,2,0)</f>
        <v>DA-1.5</v>
      </c>
      <c r="E355" s="270" t="s">
        <v>405</v>
      </c>
      <c r="F355" s="271" t="s">
        <v>685</v>
      </c>
      <c r="H355" s="160">
        <v>1</v>
      </c>
      <c r="I355" s="159">
        <v>1</v>
      </c>
      <c r="J355" s="161">
        <v>1</v>
      </c>
      <c r="K355" s="160">
        <v>1</v>
      </c>
      <c r="M355" s="161">
        <v>1</v>
      </c>
      <c r="N355" s="160">
        <v>1</v>
      </c>
      <c r="Q355" s="160">
        <v>1</v>
      </c>
      <c r="R355" s="159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14">
        <v>45564</v>
      </c>
      <c r="C356" s="117" t="s">
        <v>476</v>
      </c>
      <c r="D356" s="3" t="str">
        <f>VLOOKUP(C356,'Location Summary'!$C$4:$D$602,2,0)</f>
        <v>DA+1.5</v>
      </c>
      <c r="E356" s="270" t="s">
        <v>405</v>
      </c>
      <c r="F356" s="271" t="s">
        <v>685</v>
      </c>
      <c r="I356" s="159">
        <v>1</v>
      </c>
      <c r="R356" s="159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14">
        <v>45564</v>
      </c>
      <c r="C357" s="117" t="s">
        <v>892</v>
      </c>
      <c r="D357" s="3" t="str">
        <f>VLOOKUP(C357,'Location Summary'!$C$4:$D$602,2,0)</f>
        <v>DB1+3</v>
      </c>
      <c r="E357" s="270" t="s">
        <v>405</v>
      </c>
      <c r="F357" s="271" t="s">
        <v>685</v>
      </c>
      <c r="M357" s="161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14">
        <v>45564</v>
      </c>
      <c r="C358" s="117" t="s">
        <v>475</v>
      </c>
      <c r="D358" s="3" t="str">
        <f>VLOOKUP(C358,'Location Summary'!$C$4:$D$602,2,0)</f>
        <v>DA+6</v>
      </c>
      <c r="E358" s="270" t="s">
        <v>405</v>
      </c>
      <c r="F358" s="271" t="s">
        <v>685</v>
      </c>
      <c r="M358" s="161">
        <v>1</v>
      </c>
      <c r="P358" s="161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14">
        <v>45565</v>
      </c>
      <c r="C359" s="117" t="s">
        <v>261</v>
      </c>
      <c r="D359" s="3" t="str">
        <f>VLOOKUP(C359,'Location Summary'!$C$4:$D$602,2,0)</f>
        <v>DB2+0</v>
      </c>
      <c r="E359" s="270" t="s">
        <v>405</v>
      </c>
      <c r="F359" s="271" t="s">
        <v>685</v>
      </c>
      <c r="G359" s="161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14">
        <v>45565</v>
      </c>
      <c r="C360" s="117" t="s">
        <v>584</v>
      </c>
      <c r="D360" s="3" t="str">
        <f>VLOOKUP(C360,'Location Summary'!$C$4:$D$602,2,0)</f>
        <v>DA+0</v>
      </c>
      <c r="E360" s="270" t="s">
        <v>405</v>
      </c>
      <c r="F360" s="271" t="s">
        <v>685</v>
      </c>
      <c r="H360" s="160">
        <v>1</v>
      </c>
      <c r="I360" s="159">
        <v>1</v>
      </c>
      <c r="K360" s="160">
        <v>1</v>
      </c>
      <c r="L360" s="159">
        <v>1</v>
      </c>
      <c r="N360" s="160">
        <v>1</v>
      </c>
      <c r="O360" s="159">
        <v>1</v>
      </c>
      <c r="Q360" s="160">
        <v>1</v>
      </c>
      <c r="R360" s="159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14">
        <v>45565</v>
      </c>
      <c r="C361" s="117" t="s">
        <v>605</v>
      </c>
      <c r="D361" s="3" t="str">
        <f>VLOOKUP(C361,'Location Summary'!$C$4:$D$602,2,0)</f>
        <v>DA-1.5</v>
      </c>
      <c r="E361" s="270" t="s">
        <v>405</v>
      </c>
      <c r="F361" s="271" t="s">
        <v>685</v>
      </c>
      <c r="L361" s="159">
        <v>1</v>
      </c>
      <c r="O361" s="159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14">
        <v>45565</v>
      </c>
      <c r="C362" s="117" t="s">
        <v>475</v>
      </c>
      <c r="D362" s="3" t="str">
        <f>VLOOKUP(C362,'Location Summary'!$C$4:$D$602,2,0)</f>
        <v>DA+6</v>
      </c>
      <c r="E362" s="270" t="s">
        <v>405</v>
      </c>
      <c r="F362" s="271" t="s">
        <v>685</v>
      </c>
      <c r="G362" s="161">
        <v>1</v>
      </c>
      <c r="J362" s="161">
        <v>1</v>
      </c>
      <c r="N362" s="160">
        <v>1</v>
      </c>
      <c r="O362" s="159">
        <v>1</v>
      </c>
      <c r="Q362" s="160">
        <v>1</v>
      </c>
      <c r="R362" s="159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14">
        <v>45565</v>
      </c>
      <c r="C363" s="117" t="s">
        <v>594</v>
      </c>
      <c r="D363" s="3" t="str">
        <f>VLOOKUP(C363,'Location Summary'!$C$4:$D$602,2,0)</f>
        <v>DA+9</v>
      </c>
      <c r="E363" s="270" t="s">
        <v>405</v>
      </c>
      <c r="F363" s="271" t="s">
        <v>685</v>
      </c>
      <c r="J363" s="161">
        <v>1</v>
      </c>
      <c r="M363" s="161">
        <v>1</v>
      </c>
      <c r="N363" s="160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14">
        <v>45565</v>
      </c>
      <c r="C364" s="117" t="s">
        <v>892</v>
      </c>
      <c r="D364" s="3" t="str">
        <f>VLOOKUP(C364,'Location Summary'!$C$4:$D$602,2,0)</f>
        <v>DB1+3</v>
      </c>
      <c r="E364" s="270" t="s">
        <v>405</v>
      </c>
      <c r="F364" s="271" t="s">
        <v>685</v>
      </c>
      <c r="J364" s="161">
        <v>1</v>
      </c>
      <c r="N364" s="160">
        <v>1</v>
      </c>
      <c r="O364" s="159">
        <v>1</v>
      </c>
      <c r="P364" s="161">
        <v>1</v>
      </c>
      <c r="Q364" s="160">
        <v>1</v>
      </c>
      <c r="R364" s="159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14">
        <v>45536</v>
      </c>
      <c r="C365" s="117" t="s">
        <v>261</v>
      </c>
      <c r="D365" s="3" t="str">
        <f>VLOOKUP(C365,'Location Summary'!$C$4:$D$602,2,0)</f>
        <v>DB2+0</v>
      </c>
      <c r="E365" s="270" t="s">
        <v>405</v>
      </c>
      <c r="F365" s="271" t="s">
        <v>685</v>
      </c>
      <c r="H365" s="160">
        <v>1</v>
      </c>
      <c r="I365" s="159">
        <v>1</v>
      </c>
      <c r="K365" s="160">
        <v>1</v>
      </c>
      <c r="L365" s="159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14">
        <v>45536</v>
      </c>
      <c r="C366" s="117" t="s">
        <v>475</v>
      </c>
      <c r="D366" s="3" t="str">
        <f>VLOOKUP(C366,'Location Summary'!$C$4:$D$602,2,0)</f>
        <v>DA+6</v>
      </c>
      <c r="E366" s="270" t="s">
        <v>405</v>
      </c>
      <c r="F366" s="271" t="s">
        <v>685</v>
      </c>
      <c r="H366" s="160">
        <v>1</v>
      </c>
      <c r="I366" s="159">
        <v>1</v>
      </c>
      <c r="K366" s="160">
        <v>1</v>
      </c>
      <c r="L366" s="159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14">
        <v>45536</v>
      </c>
      <c r="C367" s="117" t="s">
        <v>594</v>
      </c>
      <c r="D367" s="3" t="str">
        <f>VLOOKUP(C367,'Location Summary'!$C$4:$D$602,2,0)</f>
        <v>DA+9</v>
      </c>
      <c r="E367" s="270" t="s">
        <v>405</v>
      </c>
      <c r="F367" s="271" t="s">
        <v>685</v>
      </c>
      <c r="K367" s="160">
        <v>1</v>
      </c>
      <c r="L367" s="159">
        <v>1</v>
      </c>
      <c r="O367" s="159">
        <v>1</v>
      </c>
      <c r="P367" s="161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14">
        <v>45536</v>
      </c>
      <c r="C368" s="117" t="s">
        <v>892</v>
      </c>
      <c r="D368" s="3" t="str">
        <f>VLOOKUP(C368,'Location Summary'!$C$4:$D$602,2,0)</f>
        <v>DB1+3</v>
      </c>
      <c r="E368" s="270" t="s">
        <v>405</v>
      </c>
      <c r="F368" s="271" t="s">
        <v>685</v>
      </c>
      <c r="G368" s="161">
        <v>1</v>
      </c>
      <c r="H368" s="160">
        <v>1</v>
      </c>
      <c r="I368" s="159">
        <v>1</v>
      </c>
      <c r="K368" s="160">
        <v>1</v>
      </c>
      <c r="L368" s="159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4">
        <v>45538</v>
      </c>
      <c r="C369" s="117" t="s">
        <v>153</v>
      </c>
      <c r="D369" s="3" t="str">
        <f>VLOOKUP(C369,'Location Summary'!$C$4:$D$602,2,0)</f>
        <v>DA+1.5</v>
      </c>
      <c r="E369" s="270" t="s">
        <v>405</v>
      </c>
      <c r="F369" s="271" t="s">
        <v>311</v>
      </c>
      <c r="M369" s="161">
        <v>1</v>
      </c>
      <c r="P369" s="161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14">
        <v>45538</v>
      </c>
      <c r="C370" s="117" t="s">
        <v>583</v>
      </c>
      <c r="D370" s="3" t="str">
        <f>VLOOKUP(C370,'Location Summary'!$C$4:$D$602,2,0)</f>
        <v>DA+0</v>
      </c>
      <c r="E370" s="270" t="s">
        <v>405</v>
      </c>
      <c r="F370" s="271" t="s">
        <v>685</v>
      </c>
      <c r="G370" s="161">
        <v>1</v>
      </c>
      <c r="H370" s="160">
        <v>1</v>
      </c>
      <c r="J370" s="161">
        <v>1</v>
      </c>
      <c r="M370" s="161">
        <v>1</v>
      </c>
      <c r="N370" s="160">
        <v>1</v>
      </c>
      <c r="P370" s="161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14">
        <v>45538</v>
      </c>
      <c r="C371" s="117" t="s">
        <v>1071</v>
      </c>
      <c r="D371" s="3" t="str">
        <f>VLOOKUP(C371,'Location Summary'!$C$4:$D$602,2,0)</f>
        <v>DB1+9</v>
      </c>
      <c r="E371" s="270" t="s">
        <v>405</v>
      </c>
      <c r="F371" s="271" t="s">
        <v>685</v>
      </c>
      <c r="G371" s="161">
        <v>1</v>
      </c>
      <c r="J371" s="161">
        <v>1</v>
      </c>
      <c r="P371" s="161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14">
        <v>45538</v>
      </c>
      <c r="C372" s="117" t="s">
        <v>594</v>
      </c>
      <c r="D372" s="3" t="str">
        <f>VLOOKUP(C372,'Location Summary'!$C$4:$D$602,2,0)</f>
        <v>DA+9</v>
      </c>
      <c r="E372" s="270" t="s">
        <v>405</v>
      </c>
      <c r="F372" s="271" t="s">
        <v>685</v>
      </c>
      <c r="G372" s="161">
        <v>1</v>
      </c>
      <c r="H372" s="160">
        <v>1</v>
      </c>
      <c r="I372" s="159">
        <v>1</v>
      </c>
      <c r="Q372" s="160">
        <v>1</v>
      </c>
      <c r="R372" s="159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14">
        <v>45539</v>
      </c>
      <c r="C373" s="117" t="s">
        <v>153</v>
      </c>
      <c r="D373" s="3" t="str">
        <f>VLOOKUP(C373,'Location Summary'!$C$4:$D$602,2,0)</f>
        <v>DA+1.5</v>
      </c>
      <c r="E373" s="270" t="s">
        <v>405</v>
      </c>
      <c r="F373" s="271" t="s">
        <v>685</v>
      </c>
      <c r="N373" s="160">
        <v>1</v>
      </c>
      <c r="Q373" s="160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14">
        <v>45539</v>
      </c>
      <c r="C374" s="117" t="s">
        <v>583</v>
      </c>
      <c r="D374" s="3" t="str">
        <f>VLOOKUP(C374,'Location Summary'!$C$4:$D$602,2,0)</f>
        <v>DA+0</v>
      </c>
      <c r="E374" s="270" t="s">
        <v>405</v>
      </c>
      <c r="F374" s="271" t="s">
        <v>685</v>
      </c>
      <c r="I374" s="159">
        <v>1</v>
      </c>
      <c r="K374" s="160">
        <v>1</v>
      </c>
      <c r="L374" s="159">
        <v>1</v>
      </c>
      <c r="O374" s="159">
        <v>1</v>
      </c>
      <c r="Q374" s="160">
        <v>1</v>
      </c>
      <c r="R374" s="159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14">
        <v>45539</v>
      </c>
      <c r="C375" s="117" t="s">
        <v>1071</v>
      </c>
      <c r="D375" s="3" t="str">
        <f>VLOOKUP(C375,'Location Summary'!$C$4:$D$602,2,0)</f>
        <v>DB1+9</v>
      </c>
      <c r="E375" s="270" t="s">
        <v>405</v>
      </c>
      <c r="F375" s="271" t="s">
        <v>685</v>
      </c>
      <c r="H375" s="160">
        <v>1</v>
      </c>
      <c r="I375" s="159">
        <v>1</v>
      </c>
      <c r="M375" s="161">
        <v>1</v>
      </c>
      <c r="Q375" s="160">
        <v>1</v>
      </c>
      <c r="R375" s="159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14">
        <v>45539</v>
      </c>
      <c r="C376" s="117" t="s">
        <v>535</v>
      </c>
      <c r="D376" s="3" t="s">
        <v>3</v>
      </c>
      <c r="E376" s="270" t="s">
        <v>405</v>
      </c>
      <c r="F376" s="271" t="s">
        <v>685</v>
      </c>
      <c r="M376" s="161">
        <v>1</v>
      </c>
      <c r="N376" s="160">
        <v>1</v>
      </c>
      <c r="P376" s="161">
        <v>1</v>
      </c>
      <c r="Q376" s="160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14">
        <v>45540</v>
      </c>
      <c r="C377" s="117" t="s">
        <v>153</v>
      </c>
      <c r="D377" s="3" t="str">
        <f>VLOOKUP(C377,'Location Summary'!$C$4:$D$602,2,0)</f>
        <v>DA+1.5</v>
      </c>
      <c r="E377" s="270" t="s">
        <v>405</v>
      </c>
      <c r="F377" s="271" t="s">
        <v>685</v>
      </c>
      <c r="G377" s="161">
        <v>1</v>
      </c>
      <c r="O377" s="159">
        <v>1</v>
      </c>
      <c r="R377" s="159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14">
        <v>45540</v>
      </c>
      <c r="C378" s="117" t="s">
        <v>1071</v>
      </c>
      <c r="D378" s="3" t="str">
        <f>VLOOKUP(C378,'Location Summary'!$C$4:$D$602,2,0)</f>
        <v>DB1+9</v>
      </c>
      <c r="E378" s="270" t="s">
        <v>405</v>
      </c>
      <c r="F378" s="271" t="s">
        <v>685</v>
      </c>
      <c r="K378" s="160">
        <v>1</v>
      </c>
      <c r="L378" s="159">
        <v>1</v>
      </c>
      <c r="N378" s="160">
        <v>1</v>
      </c>
      <c r="O378" s="159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14">
        <v>45540</v>
      </c>
      <c r="C379" s="117" t="s">
        <v>467</v>
      </c>
      <c r="D379" s="3" t="str">
        <f>VLOOKUP(C379,'Location Summary'!$C$4:$D$602,2,0)</f>
        <v>DA+6</v>
      </c>
      <c r="E379" s="270" t="s">
        <v>405</v>
      </c>
      <c r="F379" s="271" t="s">
        <v>685</v>
      </c>
      <c r="J379" s="161">
        <v>1</v>
      </c>
      <c r="M379" s="161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14">
        <v>45540</v>
      </c>
      <c r="C380" s="117" t="s">
        <v>595</v>
      </c>
      <c r="D380" s="3" t="str">
        <f>VLOOKUP(C380,'Location Summary'!$C$4:$D$602,2,0)</f>
        <v>DA+6</v>
      </c>
      <c r="E380" s="270" t="s">
        <v>405</v>
      </c>
      <c r="F380" s="271" t="s">
        <v>685</v>
      </c>
      <c r="M380" s="161">
        <v>1</v>
      </c>
      <c r="P380" s="161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14">
        <v>45540</v>
      </c>
      <c r="C381" s="117" t="s">
        <v>535</v>
      </c>
      <c r="D381" s="3" t="s">
        <v>3</v>
      </c>
      <c r="E381" s="270" t="s">
        <v>405</v>
      </c>
      <c r="F381" s="271" t="s">
        <v>685</v>
      </c>
      <c r="G381" s="161">
        <v>1</v>
      </c>
      <c r="H381" s="160">
        <v>1</v>
      </c>
      <c r="I381" s="159">
        <v>1</v>
      </c>
      <c r="J381" s="161">
        <v>1</v>
      </c>
      <c r="K381" s="160">
        <v>1</v>
      </c>
      <c r="L381" s="159">
        <v>1</v>
      </c>
      <c r="O381" s="159">
        <v>1</v>
      </c>
      <c r="R381" s="159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14">
        <v>45541</v>
      </c>
      <c r="C382" s="117" t="s">
        <v>480</v>
      </c>
      <c r="D382" s="3" t="str">
        <f>VLOOKUP(C382,'Location Summary'!$C$4:$D$602,2,0)</f>
        <v>DA+9</v>
      </c>
      <c r="E382" s="270" t="s">
        <v>405</v>
      </c>
      <c r="F382" s="271" t="s">
        <v>685</v>
      </c>
      <c r="G382" s="161">
        <v>1</v>
      </c>
      <c r="J382" s="161">
        <v>1</v>
      </c>
      <c r="M382" s="161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14">
        <v>45541</v>
      </c>
      <c r="C383" s="117" t="s">
        <v>153</v>
      </c>
      <c r="D383" s="3" t="str">
        <f>VLOOKUP(C383,'Location Summary'!$C$4:$D$602,2,0)</f>
        <v>DA+1.5</v>
      </c>
      <c r="E383" s="270" t="s">
        <v>405</v>
      </c>
      <c r="F383" s="271" t="s">
        <v>685</v>
      </c>
      <c r="J383" s="161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4">
        <v>45541</v>
      </c>
      <c r="C384" s="117" t="s">
        <v>585</v>
      </c>
      <c r="D384" s="3" t="str">
        <f>VLOOKUP(C384,'Location Summary'!$C$4:$D$602,2,0)</f>
        <v>DA+1.5</v>
      </c>
      <c r="E384" s="270" t="s">
        <v>405</v>
      </c>
      <c r="F384" s="271" t="s">
        <v>685</v>
      </c>
      <c r="G384" s="161">
        <v>1</v>
      </c>
      <c r="J384" s="161">
        <v>1</v>
      </c>
      <c r="M384" s="161">
        <v>1</v>
      </c>
      <c r="P384" s="161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14">
        <v>45541</v>
      </c>
      <c r="C385" s="117" t="s">
        <v>467</v>
      </c>
      <c r="D385" s="3" t="str">
        <f>VLOOKUP(C385,'Location Summary'!$C$4:$D$602,2,0)</f>
        <v>DA+6</v>
      </c>
      <c r="E385" s="270" t="s">
        <v>405</v>
      </c>
      <c r="F385" s="271" t="s">
        <v>685</v>
      </c>
      <c r="G385" s="161">
        <v>1</v>
      </c>
      <c r="K385" s="160">
        <v>1</v>
      </c>
      <c r="L385" s="159">
        <v>1</v>
      </c>
      <c r="N385" s="160">
        <v>1</v>
      </c>
      <c r="O385" s="159">
        <v>1</v>
      </c>
      <c r="P385" s="161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14">
        <v>45541</v>
      </c>
      <c r="C386" s="117" t="s">
        <v>595</v>
      </c>
      <c r="D386" s="3" t="str">
        <f>VLOOKUP(C386,'Location Summary'!$C$4:$D$602,2,0)</f>
        <v>DA+6</v>
      </c>
      <c r="E386" s="270" t="s">
        <v>405</v>
      </c>
      <c r="F386" s="271" t="s">
        <v>685</v>
      </c>
      <c r="N386" s="160">
        <v>1</v>
      </c>
      <c r="O386" s="159">
        <v>1</v>
      </c>
      <c r="Q386" s="160">
        <v>1</v>
      </c>
      <c r="R386" s="159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14">
        <v>45542</v>
      </c>
      <c r="C387" s="117" t="s">
        <v>480</v>
      </c>
      <c r="D387" s="3" t="str">
        <f>VLOOKUP(C387,'Location Summary'!$C$4:$D$602,2,0)</f>
        <v>DA+9</v>
      </c>
      <c r="E387" s="270" t="s">
        <v>405</v>
      </c>
      <c r="F387" s="271" t="s">
        <v>685</v>
      </c>
      <c r="H387" s="160">
        <v>1</v>
      </c>
      <c r="I387" s="159">
        <v>1</v>
      </c>
      <c r="K387" s="160">
        <v>1</v>
      </c>
      <c r="L387" s="159">
        <v>1</v>
      </c>
      <c r="N387" s="160">
        <v>1</v>
      </c>
      <c r="P387" s="161">
        <v>1</v>
      </c>
      <c r="Q387" s="160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14">
        <v>45542</v>
      </c>
      <c r="C388" s="117" t="s">
        <v>585</v>
      </c>
      <c r="D388" s="3" t="str">
        <f>VLOOKUP(C388,'Location Summary'!$C$4:$D$602,2,0)</f>
        <v>DA+1.5</v>
      </c>
      <c r="E388" s="270" t="s">
        <v>405</v>
      </c>
      <c r="F388" s="271" t="s">
        <v>685</v>
      </c>
      <c r="H388" s="160">
        <v>1</v>
      </c>
      <c r="I388" s="159">
        <v>1</v>
      </c>
      <c r="K388" s="160">
        <v>1</v>
      </c>
      <c r="L388" s="159">
        <v>1</v>
      </c>
      <c r="N388" s="160">
        <v>1</v>
      </c>
      <c r="O388" s="159">
        <v>1</v>
      </c>
      <c r="Q388" s="160">
        <v>1</v>
      </c>
      <c r="R388" s="159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14">
        <v>45542</v>
      </c>
      <c r="C389" s="117" t="s">
        <v>467</v>
      </c>
      <c r="D389" s="3" t="str">
        <f>VLOOKUP(C389,'Location Summary'!$C$4:$D$602,2,0)</f>
        <v>DA+6</v>
      </c>
      <c r="E389" s="270" t="s">
        <v>405</v>
      </c>
      <c r="F389" s="271" t="s">
        <v>685</v>
      </c>
      <c r="H389" s="160">
        <v>1</v>
      </c>
      <c r="I389" s="159">
        <v>1</v>
      </c>
      <c r="Q389" s="160">
        <v>1</v>
      </c>
      <c r="R389" s="159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14">
        <v>45542</v>
      </c>
      <c r="C390" s="117" t="s">
        <v>595</v>
      </c>
      <c r="D390" s="3" t="str">
        <f>VLOOKUP(C390,'Location Summary'!$C$4:$D$602,2,0)</f>
        <v>DA+6</v>
      </c>
      <c r="E390" s="270" t="s">
        <v>405</v>
      </c>
      <c r="F390" s="271" t="s">
        <v>685</v>
      </c>
      <c r="G390" s="161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14">
        <v>45542</v>
      </c>
      <c r="C391" s="117" t="s">
        <v>536</v>
      </c>
      <c r="D391" s="3" t="s">
        <v>3</v>
      </c>
      <c r="E391" s="270" t="s">
        <v>405</v>
      </c>
      <c r="F391" s="271" t="s">
        <v>685</v>
      </c>
      <c r="G391" s="161">
        <v>1</v>
      </c>
      <c r="J391" s="161">
        <v>1</v>
      </c>
      <c r="M391" s="161">
        <v>1</v>
      </c>
      <c r="P391" s="161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14">
        <v>45543</v>
      </c>
      <c r="C392" s="117" t="s">
        <v>480</v>
      </c>
      <c r="D392" s="3" t="str">
        <f>VLOOKUP(C392,'Location Summary'!$C$4:$D$602,2,0)</f>
        <v>DA+9</v>
      </c>
      <c r="E392" s="270" t="s">
        <v>405</v>
      </c>
      <c r="F392" s="271" t="s">
        <v>685</v>
      </c>
      <c r="O392" s="159">
        <v>1</v>
      </c>
      <c r="R392" s="159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14">
        <v>45543</v>
      </c>
      <c r="C393" s="117" t="s">
        <v>153</v>
      </c>
      <c r="D393" s="3" t="str">
        <f>VLOOKUP(C393,'Location Summary'!$C$4:$D$602,2,0)</f>
        <v>DA+1.5</v>
      </c>
      <c r="E393" s="270" t="s">
        <v>405</v>
      </c>
      <c r="F393" s="271" t="s">
        <v>685</v>
      </c>
      <c r="H393" s="160">
        <v>1</v>
      </c>
      <c r="I393" s="159">
        <v>1</v>
      </c>
      <c r="K393" s="160">
        <v>1</v>
      </c>
      <c r="L393" s="159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14">
        <v>45543</v>
      </c>
      <c r="C394" s="117" t="s">
        <v>168</v>
      </c>
      <c r="D394" s="3" t="e">
        <f>VLOOKUP(C394,'Location Summary'!$C$4:$D$602,2,0)</f>
        <v>#N/A</v>
      </c>
      <c r="E394" s="270" t="s">
        <v>405</v>
      </c>
      <c r="F394" s="271" t="s">
        <v>685</v>
      </c>
      <c r="J394" s="161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14">
        <v>45543</v>
      </c>
      <c r="C395" s="117" t="s">
        <v>536</v>
      </c>
      <c r="D395" s="3" t="s">
        <v>3</v>
      </c>
      <c r="E395" s="270" t="s">
        <v>405</v>
      </c>
      <c r="F395" s="271" t="s">
        <v>685</v>
      </c>
      <c r="H395" s="160">
        <v>1</v>
      </c>
      <c r="K395" s="160">
        <v>1</v>
      </c>
      <c r="N395" s="160">
        <v>1</v>
      </c>
      <c r="Q395" s="160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14">
        <v>45543</v>
      </c>
      <c r="C396" s="117" t="s">
        <v>595</v>
      </c>
      <c r="D396" s="3" t="str">
        <f>VLOOKUP(C396,'Location Summary'!$C$4:$D$602,2,0)</f>
        <v>DA+6</v>
      </c>
      <c r="E396" s="270" t="s">
        <v>405</v>
      </c>
      <c r="F396" s="271" t="s">
        <v>685</v>
      </c>
      <c r="H396" s="160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14">
        <v>45544</v>
      </c>
      <c r="C397" s="117" t="s">
        <v>481</v>
      </c>
      <c r="D397" s="3" t="str">
        <f>VLOOKUP(C397,'Location Summary'!$C$4:$D$602,2,0)</f>
        <v>DA+6</v>
      </c>
      <c r="E397" s="270" t="s">
        <v>405</v>
      </c>
      <c r="F397" s="271" t="s">
        <v>685</v>
      </c>
      <c r="G397" s="161">
        <v>1</v>
      </c>
      <c r="P397" s="161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14">
        <v>45544</v>
      </c>
      <c r="C398" s="117" t="s">
        <v>586</v>
      </c>
      <c r="D398" s="3" t="str">
        <f>VLOOKUP(C398,'Location Summary'!$C$4:$D$602,2,0)</f>
        <v>DA-3</v>
      </c>
      <c r="E398" s="270" t="s">
        <v>405</v>
      </c>
      <c r="F398" s="271" t="s">
        <v>685</v>
      </c>
      <c r="M398" s="161">
        <v>1</v>
      </c>
      <c r="P398" s="161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14">
        <v>45544</v>
      </c>
      <c r="C399" s="117" t="s">
        <v>168</v>
      </c>
      <c r="D399" s="3" t="e">
        <f>VLOOKUP(C399,'Location Summary'!$C$4:$D$602,2,0)</f>
        <v>#N/A</v>
      </c>
      <c r="E399" s="270" t="s">
        <v>405</v>
      </c>
      <c r="F399" s="271" t="s">
        <v>685</v>
      </c>
      <c r="G399" s="161">
        <v>1</v>
      </c>
      <c r="K399" s="160">
        <v>1</v>
      </c>
      <c r="L399" s="159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14">
        <v>45544</v>
      </c>
      <c r="C400" s="117" t="s">
        <v>595</v>
      </c>
      <c r="D400" s="3" t="str">
        <f>VLOOKUP(C400,'Location Summary'!$C$4:$D$602,2,0)</f>
        <v>DA+6</v>
      </c>
      <c r="E400" s="270" t="s">
        <v>405</v>
      </c>
      <c r="F400" s="271" t="s">
        <v>685</v>
      </c>
      <c r="I400" s="159">
        <v>1</v>
      </c>
      <c r="J400" s="161">
        <v>1</v>
      </c>
      <c r="K400" s="160">
        <v>1</v>
      </c>
      <c r="L400" s="159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14">
        <v>45544</v>
      </c>
      <c r="C401" s="117" t="s">
        <v>536</v>
      </c>
      <c r="D401" s="3" t="s">
        <v>3</v>
      </c>
      <c r="E401" s="270" t="s">
        <v>405</v>
      </c>
      <c r="F401" s="271" t="s">
        <v>685</v>
      </c>
      <c r="I401" s="159">
        <v>1</v>
      </c>
      <c r="L401" s="159">
        <v>1</v>
      </c>
      <c r="O401" s="159">
        <v>1</v>
      </c>
      <c r="R401" s="159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14">
        <v>45545</v>
      </c>
      <c r="C402" s="117" t="s">
        <v>481</v>
      </c>
      <c r="D402" s="3" t="str">
        <f>VLOOKUP(C402,'Location Summary'!$C$4:$D$602,2,0)</f>
        <v>DA+6</v>
      </c>
      <c r="E402" s="270" t="s">
        <v>405</v>
      </c>
      <c r="F402" s="271" t="s">
        <v>685</v>
      </c>
      <c r="H402" s="160">
        <v>1</v>
      </c>
      <c r="M402" s="161">
        <v>1</v>
      </c>
      <c r="Q402" s="160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14">
        <v>45545</v>
      </c>
      <c r="C403" s="117" t="s">
        <v>162</v>
      </c>
      <c r="D403" s="3" t="str">
        <f>VLOOKUP(C403,'Location Summary'!$C$4:$D$602,2,0)</f>
        <v>DA-3</v>
      </c>
      <c r="E403" s="270" t="s">
        <v>405</v>
      </c>
      <c r="F403" s="271" t="s">
        <v>311</v>
      </c>
      <c r="P403" s="161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14">
        <v>45545</v>
      </c>
      <c r="C404" s="117" t="s">
        <v>586</v>
      </c>
      <c r="D404" s="3" t="str">
        <f>VLOOKUP(C404,'Location Summary'!$C$4:$D$602,2,0)</f>
        <v>DA-3</v>
      </c>
      <c r="E404" s="270" t="s">
        <v>405</v>
      </c>
      <c r="F404" s="271" t="s">
        <v>685</v>
      </c>
      <c r="G404" s="161">
        <v>1</v>
      </c>
      <c r="N404" s="160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14">
        <v>45545</v>
      </c>
      <c r="C405" s="117" t="s">
        <v>168</v>
      </c>
      <c r="D405" s="3" t="e">
        <f>VLOOKUP(C405,'Location Summary'!$C$4:$D$602,2,0)</f>
        <v>#N/A</v>
      </c>
      <c r="E405" s="270" t="s">
        <v>405</v>
      </c>
      <c r="F405" s="271" t="s">
        <v>685</v>
      </c>
      <c r="H405" s="160">
        <v>1</v>
      </c>
      <c r="I405" s="159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14">
        <v>45576</v>
      </c>
      <c r="C406" s="117" t="s">
        <v>481</v>
      </c>
      <c r="D406" s="3" t="str">
        <f>VLOOKUP(C406,'Location Summary'!$C$4:$D$602,2,0)</f>
        <v>DA+6</v>
      </c>
      <c r="E406" s="270" t="s">
        <v>405</v>
      </c>
      <c r="F406" s="271" t="s">
        <v>685</v>
      </c>
      <c r="I406" s="159">
        <v>1</v>
      </c>
      <c r="J406" s="161">
        <v>1</v>
      </c>
      <c r="N406" s="160">
        <v>1</v>
      </c>
      <c r="R406" s="159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14">
        <v>45576</v>
      </c>
      <c r="C407" s="117" t="s">
        <v>162</v>
      </c>
      <c r="D407" s="3" t="str">
        <f>VLOOKUP(C407,'Location Summary'!$C$4:$D$602,2,0)</f>
        <v>DA-3</v>
      </c>
      <c r="E407" s="270" t="s">
        <v>405</v>
      </c>
      <c r="F407" s="271" t="s">
        <v>685</v>
      </c>
      <c r="M407" s="161">
        <v>1</v>
      </c>
      <c r="Q407" s="160">
        <v>1</v>
      </c>
      <c r="R407" s="159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14">
        <v>45576</v>
      </c>
      <c r="C408" s="117" t="s">
        <v>586</v>
      </c>
      <c r="D408" s="3" t="str">
        <f>VLOOKUP(C408,'Location Summary'!$C$4:$D$602,2,0)</f>
        <v>DA-3</v>
      </c>
      <c r="E408" s="270" t="s">
        <v>405</v>
      </c>
      <c r="F408" s="271" t="s">
        <v>685</v>
      </c>
      <c r="H408" s="160">
        <v>1</v>
      </c>
      <c r="J408" s="161">
        <v>1</v>
      </c>
      <c r="O408" s="159">
        <v>1</v>
      </c>
      <c r="Q408" s="160">
        <v>1</v>
      </c>
      <c r="R408" s="159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14">
        <v>45576</v>
      </c>
      <c r="C409" s="117" t="s">
        <v>596</v>
      </c>
      <c r="D409" s="3" t="str">
        <f>VLOOKUP(C409,'Location Summary'!$C$4:$D$602,2,0)</f>
        <v>DA+3</v>
      </c>
      <c r="E409" s="270" t="s">
        <v>405</v>
      </c>
      <c r="F409" s="271" t="s">
        <v>685</v>
      </c>
      <c r="G409" s="161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14">
        <v>45576</v>
      </c>
      <c r="C410" s="117" t="s">
        <v>537</v>
      </c>
      <c r="D410" s="3" t="s">
        <v>49</v>
      </c>
      <c r="E410" s="270" t="s">
        <v>405</v>
      </c>
      <c r="F410" s="271" t="s">
        <v>685</v>
      </c>
      <c r="G410" s="161">
        <v>1</v>
      </c>
      <c r="J410" s="161">
        <v>1</v>
      </c>
      <c r="M410" s="161">
        <v>1</v>
      </c>
      <c r="P410" s="161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14">
        <v>45577</v>
      </c>
      <c r="C411" s="117" t="s">
        <v>481</v>
      </c>
      <c r="D411" s="3" t="str">
        <f>VLOOKUP(C411,'Location Summary'!$C$4:$D$602,2,0)</f>
        <v>DA+6</v>
      </c>
      <c r="E411" s="270" t="s">
        <v>405</v>
      </c>
      <c r="F411" s="271" t="s">
        <v>685</v>
      </c>
      <c r="K411" s="160">
        <v>1</v>
      </c>
      <c r="L411" s="159">
        <v>1</v>
      </c>
      <c r="O411" s="159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14">
        <v>45577</v>
      </c>
      <c r="C412" s="117" t="s">
        <v>586</v>
      </c>
      <c r="D412" s="3" t="str">
        <f>VLOOKUP(C412,'Location Summary'!$C$4:$D$602,2,0)</f>
        <v>DA-3</v>
      </c>
      <c r="E412" s="270" t="s">
        <v>405</v>
      </c>
      <c r="F412" s="271" t="s">
        <v>685</v>
      </c>
      <c r="I412" s="159">
        <v>1</v>
      </c>
      <c r="K412" s="160">
        <v>1</v>
      </c>
      <c r="L412" s="159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14">
        <v>45577</v>
      </c>
      <c r="C413" s="117" t="s">
        <v>168</v>
      </c>
      <c r="D413" s="3" t="e">
        <f>VLOOKUP(C413,'Location Summary'!$C$4:$D$602,2,0)</f>
        <v>#N/A</v>
      </c>
      <c r="E413" s="270" t="s">
        <v>405</v>
      </c>
      <c r="F413" s="271" t="s">
        <v>685</v>
      </c>
      <c r="P413" s="161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14">
        <v>45577</v>
      </c>
      <c r="C414" s="117" t="s">
        <v>258</v>
      </c>
      <c r="D414" s="3" t="str">
        <f>VLOOKUP(C414,'Location Summary'!$C$4:$D$602,2,0)</f>
        <v>DB1+9</v>
      </c>
      <c r="E414" s="270" t="s">
        <v>405</v>
      </c>
      <c r="F414" s="271" t="s">
        <v>685</v>
      </c>
      <c r="P414" s="161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14">
        <v>45577</v>
      </c>
      <c r="C415" s="117" t="s">
        <v>596</v>
      </c>
      <c r="D415" s="3" t="str">
        <f>VLOOKUP(C415,'Location Summary'!$C$4:$D$602,2,0)</f>
        <v>DA+3</v>
      </c>
      <c r="E415" s="270" t="s">
        <v>405</v>
      </c>
      <c r="F415" s="271" t="s">
        <v>685</v>
      </c>
      <c r="H415" s="160">
        <v>1</v>
      </c>
      <c r="I415" s="159">
        <v>1</v>
      </c>
      <c r="P415" s="161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4">
        <v>45577</v>
      </c>
      <c r="C416" s="117" t="s">
        <v>537</v>
      </c>
      <c r="D416" s="3" t="s">
        <v>49</v>
      </c>
      <c r="E416" s="270" t="s">
        <v>405</v>
      </c>
      <c r="F416" s="271" t="s">
        <v>685</v>
      </c>
      <c r="H416" s="160">
        <v>1</v>
      </c>
      <c r="I416" s="159">
        <v>1</v>
      </c>
      <c r="K416" s="160">
        <v>1</v>
      </c>
      <c r="L416" s="159">
        <v>1</v>
      </c>
      <c r="N416" s="160">
        <v>1</v>
      </c>
      <c r="O416" s="159">
        <v>1</v>
      </c>
      <c r="Q416" s="160">
        <v>1</v>
      </c>
      <c r="R416" s="159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14">
        <v>45578</v>
      </c>
      <c r="C417" s="117" t="s">
        <v>162</v>
      </c>
      <c r="D417" s="3" t="str">
        <f>VLOOKUP(C417,'Location Summary'!$C$4:$D$602,2,0)</f>
        <v>DA-3</v>
      </c>
      <c r="E417" s="270" t="s">
        <v>405</v>
      </c>
      <c r="F417" s="271" t="s">
        <v>685</v>
      </c>
      <c r="G417" s="161">
        <v>1</v>
      </c>
      <c r="J417" s="161">
        <v>1</v>
      </c>
      <c r="N417" s="160">
        <v>1</v>
      </c>
      <c r="O417" s="159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14">
        <v>45578</v>
      </c>
      <c r="C418" s="117" t="s">
        <v>168</v>
      </c>
      <c r="D418" s="3" t="e">
        <f>VLOOKUP(C418,'Location Summary'!$C$4:$D$602,2,0)</f>
        <v>#N/A</v>
      </c>
      <c r="E418" s="270" t="s">
        <v>405</v>
      </c>
      <c r="F418" s="271" t="s">
        <v>685</v>
      </c>
      <c r="M418" s="161">
        <v>1</v>
      </c>
      <c r="Q418" s="160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14">
        <v>45578</v>
      </c>
      <c r="C419" s="117" t="s">
        <v>258</v>
      </c>
      <c r="D419" s="3" t="str">
        <f>VLOOKUP(C419,'Location Summary'!$C$4:$D$602,2,0)</f>
        <v>DB1+9</v>
      </c>
      <c r="E419" s="270" t="s">
        <v>405</v>
      </c>
      <c r="F419" s="271" t="s">
        <v>685</v>
      </c>
      <c r="M419" s="161">
        <v>1</v>
      </c>
      <c r="Q419" s="160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14">
        <v>45578</v>
      </c>
      <c r="C420" s="117" t="s">
        <v>596</v>
      </c>
      <c r="D420" s="3" t="str">
        <f>VLOOKUP(C420,'Location Summary'!$C$4:$D$602,2,0)</f>
        <v>DA+3</v>
      </c>
      <c r="E420" s="270" t="s">
        <v>405</v>
      </c>
      <c r="F420" s="271" t="s">
        <v>685</v>
      </c>
      <c r="Q420" s="160">
        <v>1</v>
      </c>
      <c r="R420" s="159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14">
        <v>45579</v>
      </c>
      <c r="C421" s="117" t="s">
        <v>473</v>
      </c>
      <c r="D421" s="3" t="str">
        <f>VLOOKUP(C421,'Location Summary'!$C$4:$D$602,2,0)</f>
        <v>DA+1.5</v>
      </c>
      <c r="E421" s="270" t="s">
        <v>405</v>
      </c>
      <c r="F421" s="271" t="s">
        <v>685</v>
      </c>
      <c r="G421" s="161">
        <v>1</v>
      </c>
      <c r="P421" s="161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14">
        <v>45579</v>
      </c>
      <c r="C422" s="117" t="s">
        <v>162</v>
      </c>
      <c r="D422" s="3" t="str">
        <f>VLOOKUP(C422,'Location Summary'!$C$4:$D$602,2,0)</f>
        <v>DA-3</v>
      </c>
      <c r="E422" s="270" t="s">
        <v>405</v>
      </c>
      <c r="F422" s="271" t="s">
        <v>685</v>
      </c>
      <c r="H422" s="160">
        <v>1</v>
      </c>
      <c r="I422" s="159">
        <v>1</v>
      </c>
      <c r="K422" s="160">
        <v>1</v>
      </c>
      <c r="L422" s="159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14">
        <v>45579</v>
      </c>
      <c r="C423" s="117" t="s">
        <v>578</v>
      </c>
      <c r="D423" s="3" t="str">
        <f>VLOOKUP(C423,'Location Summary'!$C$4:$D$602,2,0)</f>
        <v>DA+9</v>
      </c>
      <c r="E423" s="270" t="s">
        <v>405</v>
      </c>
      <c r="F423" s="271" t="s">
        <v>685</v>
      </c>
      <c r="J423" s="161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14">
        <v>45579</v>
      </c>
      <c r="C424" s="117" t="s">
        <v>168</v>
      </c>
      <c r="D424" s="3" t="e">
        <f>VLOOKUP(C424,'Location Summary'!$C$4:$D$602,2,0)</f>
        <v>#N/A</v>
      </c>
      <c r="E424" s="270" t="s">
        <v>405</v>
      </c>
      <c r="F424" s="271" t="s">
        <v>685</v>
      </c>
      <c r="N424" s="160">
        <v>1</v>
      </c>
      <c r="O424" s="159">
        <v>1</v>
      </c>
      <c r="R424" s="159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14">
        <v>45579</v>
      </c>
      <c r="C425" s="117" t="s">
        <v>596</v>
      </c>
      <c r="D425" s="3" t="str">
        <f>VLOOKUP(C425,'Location Summary'!$C$4:$D$602,2,0)</f>
        <v>DA+3</v>
      </c>
      <c r="E425" s="270" t="s">
        <v>405</v>
      </c>
      <c r="F425" s="271" t="s">
        <v>685</v>
      </c>
      <c r="J425" s="161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14">
        <v>45579</v>
      </c>
      <c r="C426" s="117" t="s">
        <v>538</v>
      </c>
      <c r="D426" s="3" t="s">
        <v>3</v>
      </c>
      <c r="E426" s="270" t="s">
        <v>405</v>
      </c>
      <c r="F426" s="271" t="s">
        <v>685</v>
      </c>
      <c r="J426" s="161">
        <v>1</v>
      </c>
      <c r="M426" s="161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14">
        <v>45580</v>
      </c>
      <c r="C427" s="117" t="s">
        <v>473</v>
      </c>
      <c r="D427" s="3" t="str">
        <f>VLOOKUP(C427,'Location Summary'!$C$4:$D$602,2,0)</f>
        <v>DA+1.5</v>
      </c>
      <c r="E427" s="270" t="s">
        <v>405</v>
      </c>
      <c r="F427" s="271" t="s">
        <v>685</v>
      </c>
      <c r="J427" s="161">
        <v>1</v>
      </c>
      <c r="M427" s="161">
        <v>1</v>
      </c>
      <c r="N427" s="160">
        <v>1</v>
      </c>
      <c r="Q427" s="160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14">
        <v>45580</v>
      </c>
      <c r="C428" s="117" t="s">
        <v>578</v>
      </c>
      <c r="D428" s="3" t="str">
        <f>VLOOKUP(C428,'Location Summary'!$C$4:$D$602,2,0)</f>
        <v>DA+9</v>
      </c>
      <c r="E428" s="270" t="s">
        <v>405</v>
      </c>
      <c r="F428" s="271" t="s">
        <v>685</v>
      </c>
      <c r="G428" s="161">
        <v>1</v>
      </c>
      <c r="M428" s="161">
        <v>1</v>
      </c>
      <c r="P428" s="161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14">
        <v>45580</v>
      </c>
      <c r="C429" s="117" t="s">
        <v>258</v>
      </c>
      <c r="D429" s="3" t="str">
        <f>VLOOKUP(C429,'Location Summary'!$C$4:$D$602,2,0)</f>
        <v>DB1+9</v>
      </c>
      <c r="E429" s="270" t="s">
        <v>405</v>
      </c>
      <c r="F429" s="271" t="s">
        <v>685</v>
      </c>
      <c r="N429" s="160">
        <v>1</v>
      </c>
      <c r="O429" s="159">
        <v>1</v>
      </c>
      <c r="R429" s="159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14">
        <v>45580</v>
      </c>
      <c r="C430" s="117" t="s">
        <v>596</v>
      </c>
      <c r="D430" s="3" t="str">
        <f>VLOOKUP(C430,'Location Summary'!$C$4:$D$602,2,0)</f>
        <v>DA+3</v>
      </c>
      <c r="E430" s="270" t="s">
        <v>405</v>
      </c>
      <c r="F430" s="271" t="s">
        <v>685</v>
      </c>
      <c r="K430" s="160">
        <v>1</v>
      </c>
      <c r="L430" s="159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14">
        <v>45580</v>
      </c>
      <c r="C431" s="117" t="s">
        <v>538</v>
      </c>
      <c r="D431" s="3" t="s">
        <v>3</v>
      </c>
      <c r="E431" s="270" t="s">
        <v>405</v>
      </c>
      <c r="F431" s="271" t="s">
        <v>685</v>
      </c>
      <c r="G431" s="161">
        <v>1</v>
      </c>
      <c r="K431" s="160">
        <v>1</v>
      </c>
      <c r="L431" s="159">
        <v>1</v>
      </c>
      <c r="N431" s="160">
        <v>1</v>
      </c>
      <c r="O431" s="159">
        <v>1</v>
      </c>
      <c r="P431" s="161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14">
        <v>45581</v>
      </c>
      <c r="C432" s="117" t="s">
        <v>473</v>
      </c>
      <c r="D432" s="3" t="str">
        <f>VLOOKUP(C432,'Location Summary'!$C$4:$D$602,2,0)</f>
        <v>DA+1.5</v>
      </c>
      <c r="E432" s="270" t="s">
        <v>405</v>
      </c>
      <c r="F432" s="271" t="s">
        <v>685</v>
      </c>
      <c r="H432" s="160">
        <v>1</v>
      </c>
      <c r="I432" s="159">
        <v>1</v>
      </c>
      <c r="K432" s="160">
        <v>1</v>
      </c>
      <c r="L432" s="159">
        <v>1</v>
      </c>
      <c r="O432" s="159">
        <v>1</v>
      </c>
      <c r="R432" s="159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14">
        <v>45581</v>
      </c>
      <c r="C433" s="117" t="s">
        <v>578</v>
      </c>
      <c r="D433" s="3" t="str">
        <f>VLOOKUP(C433,'Location Summary'!$C$4:$D$602,2,0)</f>
        <v>DA+9</v>
      </c>
      <c r="E433" s="270" t="s">
        <v>405</v>
      </c>
      <c r="F433" s="271" t="s">
        <v>685</v>
      </c>
      <c r="H433" s="160">
        <v>1</v>
      </c>
      <c r="I433" s="159">
        <v>1</v>
      </c>
      <c r="K433" s="160">
        <v>1</v>
      </c>
      <c r="L433" s="159">
        <v>1</v>
      </c>
      <c r="N433" s="160">
        <v>1</v>
      </c>
      <c r="O433" s="159">
        <v>1</v>
      </c>
      <c r="Q433" s="160">
        <v>1</v>
      </c>
      <c r="R433" s="159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14">
        <v>45581</v>
      </c>
      <c r="C434" s="117" t="s">
        <v>258</v>
      </c>
      <c r="D434" s="3" t="str">
        <f>VLOOKUP(C434,'Location Summary'!$C$4:$D$602,2,0)</f>
        <v>DB1+9</v>
      </c>
      <c r="E434" s="270" t="s">
        <v>405</v>
      </c>
      <c r="F434" s="271" t="s">
        <v>685</v>
      </c>
      <c r="J434" s="161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14">
        <v>45581</v>
      </c>
      <c r="C435" s="117" t="s">
        <v>538</v>
      </c>
      <c r="D435" s="3" t="s">
        <v>3</v>
      </c>
      <c r="E435" s="270" t="s">
        <v>405</v>
      </c>
      <c r="F435" s="271" t="s">
        <v>685</v>
      </c>
      <c r="H435" s="160">
        <v>1</v>
      </c>
      <c r="I435" s="159">
        <v>1</v>
      </c>
      <c r="Q435" s="160">
        <v>1</v>
      </c>
      <c r="R435" s="159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14">
        <v>45582</v>
      </c>
      <c r="C436" s="117" t="s">
        <v>781</v>
      </c>
      <c r="D436" s="3" t="str">
        <f>VLOOKUP(C436,'Location Summary'!$C$4:$D$602,2,0)</f>
        <v>DA+9</v>
      </c>
      <c r="E436" s="270" t="s">
        <v>405</v>
      </c>
      <c r="F436" s="271" t="s">
        <v>685</v>
      </c>
      <c r="J436" s="161">
        <v>1</v>
      </c>
      <c r="P436" s="161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14">
        <v>45582</v>
      </c>
      <c r="C437" s="117" t="s">
        <v>258</v>
      </c>
      <c r="D437" s="3" t="str">
        <f>VLOOKUP(C437,'Location Summary'!$C$4:$D$602,2,0)</f>
        <v>DB1+9</v>
      </c>
      <c r="E437" s="270" t="s">
        <v>405</v>
      </c>
      <c r="F437" s="271" t="s">
        <v>685</v>
      </c>
      <c r="G437" s="161">
        <v>1</v>
      </c>
      <c r="K437" s="160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14">
        <v>45582</v>
      </c>
      <c r="C438" s="117" t="s">
        <v>596</v>
      </c>
      <c r="D438" s="3" t="str">
        <f>VLOOKUP(C438,'Location Summary'!$C$4:$D$602,2,0)</f>
        <v>DA+3</v>
      </c>
      <c r="E438" s="270" t="s">
        <v>405</v>
      </c>
      <c r="F438" s="271" t="s">
        <v>685</v>
      </c>
      <c r="M438" s="161">
        <v>1</v>
      </c>
      <c r="N438" s="160">
        <v>1</v>
      </c>
      <c r="O438" s="159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14">
        <v>45583</v>
      </c>
      <c r="C439" s="117" t="s">
        <v>471</v>
      </c>
      <c r="D439" s="3" t="str">
        <f>VLOOKUP(C439,'Location Summary'!$C$4:$D$602,2,0)</f>
        <v>DA+9</v>
      </c>
      <c r="E439" s="270" t="s">
        <v>405</v>
      </c>
      <c r="F439" s="271" t="s">
        <v>685</v>
      </c>
      <c r="G439" s="161">
        <v>1</v>
      </c>
      <c r="J439" s="161">
        <v>1</v>
      </c>
      <c r="M439" s="161">
        <v>1</v>
      </c>
      <c r="P439" s="161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14">
        <v>45583</v>
      </c>
      <c r="C440" s="117" t="s">
        <v>571</v>
      </c>
      <c r="D440" s="3" t="str">
        <f>VLOOKUP(C440,'Location Summary'!$C$4:$D$602,2,0)</f>
        <v>DA+0</v>
      </c>
      <c r="E440" s="270" t="s">
        <v>405</v>
      </c>
      <c r="F440" s="271" t="s">
        <v>685</v>
      </c>
      <c r="G440" s="161">
        <v>1</v>
      </c>
      <c r="J440" s="161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14">
        <v>45583</v>
      </c>
      <c r="C441" s="117" t="s">
        <v>781</v>
      </c>
      <c r="D441" s="3" t="str">
        <f>VLOOKUP(C441,'Location Summary'!$C$4:$D$602,2,0)</f>
        <v>DA+9</v>
      </c>
      <c r="E441" s="270" t="s">
        <v>405</v>
      </c>
      <c r="F441" s="271" t="s">
        <v>685</v>
      </c>
      <c r="K441" s="160">
        <v>1</v>
      </c>
      <c r="L441" s="159">
        <v>1</v>
      </c>
      <c r="Q441" s="160">
        <v>1</v>
      </c>
      <c r="R441" s="159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14">
        <v>45583</v>
      </c>
      <c r="C442" s="117" t="s">
        <v>258</v>
      </c>
      <c r="D442" s="3" t="str">
        <f>VLOOKUP(C442,'Location Summary'!$C$4:$D$602,2,0)</f>
        <v>DB1+9</v>
      </c>
      <c r="E442" s="270" t="s">
        <v>405</v>
      </c>
      <c r="F442" s="271" t="s">
        <v>685</v>
      </c>
      <c r="H442" s="160">
        <v>1</v>
      </c>
      <c r="I442" s="159">
        <v>1</v>
      </c>
      <c r="L442" s="159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14">
        <v>45583</v>
      </c>
      <c r="C443" s="117" t="s">
        <v>534</v>
      </c>
      <c r="D443" s="3" t="s">
        <v>2</v>
      </c>
      <c r="E443" s="270" t="s">
        <v>405</v>
      </c>
      <c r="F443" s="271" t="s">
        <v>685</v>
      </c>
      <c r="G443" s="161">
        <v>1</v>
      </c>
      <c r="J443" s="161">
        <v>1</v>
      </c>
      <c r="M443" s="161">
        <v>1</v>
      </c>
      <c r="P443" s="161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14">
        <v>45584</v>
      </c>
      <c r="C444" s="117" t="s">
        <v>471</v>
      </c>
      <c r="D444" s="3" t="str">
        <f>VLOOKUP(C444,'Location Summary'!$C$4:$D$602,2,0)</f>
        <v>DA+9</v>
      </c>
      <c r="E444" s="270" t="s">
        <v>405</v>
      </c>
      <c r="F444" s="271" t="s">
        <v>685</v>
      </c>
      <c r="H444" s="160">
        <v>1</v>
      </c>
      <c r="I444" s="159">
        <v>1</v>
      </c>
      <c r="K444" s="160">
        <v>1</v>
      </c>
      <c r="L444" s="159">
        <v>1</v>
      </c>
      <c r="N444" s="160">
        <v>1</v>
      </c>
      <c r="O444" s="159">
        <v>1</v>
      </c>
      <c r="Q444" s="160">
        <v>1</v>
      </c>
      <c r="R444" s="159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14">
        <v>45584</v>
      </c>
      <c r="C445" s="117" t="s">
        <v>433</v>
      </c>
      <c r="D445" s="3" t="str">
        <f>VLOOKUP(C445,'Location Summary'!$C$4:$D$602,2,0)</f>
        <v>DA+0</v>
      </c>
      <c r="E445" s="270" t="s">
        <v>405</v>
      </c>
      <c r="F445" s="271" t="s">
        <v>685</v>
      </c>
      <c r="M445" s="161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14">
        <v>45584</v>
      </c>
      <c r="C446" s="117" t="s">
        <v>571</v>
      </c>
      <c r="D446" s="3" t="str">
        <f>VLOOKUP(C446,'Location Summary'!$C$4:$D$602,2,0)</f>
        <v>DA+0</v>
      </c>
      <c r="E446" s="270" t="s">
        <v>405</v>
      </c>
      <c r="F446" s="271" t="s">
        <v>685</v>
      </c>
      <c r="H446" s="160">
        <v>1</v>
      </c>
      <c r="I446" s="159">
        <v>1</v>
      </c>
      <c r="K446" s="160">
        <v>1</v>
      </c>
      <c r="L446" s="159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14">
        <v>45584</v>
      </c>
      <c r="C447" s="117" t="s">
        <v>781</v>
      </c>
      <c r="D447" s="3" t="str">
        <f>VLOOKUP(C447,'Location Summary'!$C$4:$D$602,2,0)</f>
        <v>DA+9</v>
      </c>
      <c r="E447" s="270" t="s">
        <v>405</v>
      </c>
      <c r="F447" s="271" t="s">
        <v>685</v>
      </c>
      <c r="G447" s="161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14">
        <v>45584</v>
      </c>
      <c r="C448" s="117" t="s">
        <v>597</v>
      </c>
      <c r="D448" s="3" t="str">
        <f>VLOOKUP(C448,'Location Summary'!$C$4:$D$602,2,0)</f>
        <v>DA+6</v>
      </c>
      <c r="E448" s="270" t="s">
        <v>405</v>
      </c>
      <c r="F448" s="271" t="s">
        <v>685</v>
      </c>
      <c r="M448" s="161">
        <v>1</v>
      </c>
      <c r="P448" s="161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14">
        <v>45584</v>
      </c>
      <c r="C449" s="117" t="s">
        <v>534</v>
      </c>
      <c r="D449" s="3" t="s">
        <v>2</v>
      </c>
      <c r="E449" s="270" t="s">
        <v>405</v>
      </c>
      <c r="F449" s="271" t="s">
        <v>685</v>
      </c>
      <c r="H449" s="160">
        <v>1</v>
      </c>
      <c r="I449" s="159">
        <v>1</v>
      </c>
      <c r="K449" s="160">
        <v>1</v>
      </c>
      <c r="L449" s="159">
        <v>1</v>
      </c>
      <c r="N449" s="160">
        <v>1</v>
      </c>
      <c r="O449" s="159">
        <v>1</v>
      </c>
      <c r="Q449" s="160">
        <v>1</v>
      </c>
      <c r="R449" s="159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14">
        <v>45585</v>
      </c>
      <c r="C450" s="117" t="s">
        <v>433</v>
      </c>
      <c r="D450" s="3" t="str">
        <f>VLOOKUP(C450,'Location Summary'!$C$4:$D$602,2,0)</f>
        <v>DA+0</v>
      </c>
      <c r="E450" s="270" t="s">
        <v>405</v>
      </c>
      <c r="F450" s="271" t="s">
        <v>685</v>
      </c>
      <c r="G450" s="161">
        <v>1</v>
      </c>
      <c r="N450" s="160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14">
        <v>45585</v>
      </c>
      <c r="C451" s="117" t="s">
        <v>781</v>
      </c>
      <c r="D451" s="3" t="str">
        <f>VLOOKUP(C451,'Location Summary'!$C$4:$D$602,2,0)</f>
        <v>DA+9</v>
      </c>
      <c r="E451" s="270" t="s">
        <v>405</v>
      </c>
      <c r="F451" s="271" t="s">
        <v>685</v>
      </c>
      <c r="H451" s="160">
        <v>1</v>
      </c>
      <c r="M451" s="161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14">
        <v>45585</v>
      </c>
      <c r="C452" s="117" t="s">
        <v>597</v>
      </c>
      <c r="D452" s="3" t="str">
        <f>VLOOKUP(C452,'Location Summary'!$C$4:$D$602,2,0)</f>
        <v>DA+6</v>
      </c>
      <c r="E452" s="270" t="s">
        <v>405</v>
      </c>
      <c r="F452" s="271" t="s">
        <v>685</v>
      </c>
      <c r="N452" s="160">
        <v>1</v>
      </c>
      <c r="O452" s="159">
        <v>1</v>
      </c>
      <c r="Q452" s="160">
        <v>1</v>
      </c>
      <c r="R452" s="159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14">
        <v>45586</v>
      </c>
      <c r="C453" s="117" t="s">
        <v>433</v>
      </c>
      <c r="D453" s="3" t="str">
        <f>VLOOKUP(C453,'Location Summary'!$C$4:$D$602,2,0)</f>
        <v>DA+0</v>
      </c>
      <c r="E453" s="270" t="s">
        <v>405</v>
      </c>
      <c r="F453" s="271" t="s">
        <v>685</v>
      </c>
      <c r="H453" s="160">
        <v>1</v>
      </c>
      <c r="O453" s="159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14">
        <v>45586</v>
      </c>
      <c r="C454" s="117" t="s">
        <v>571</v>
      </c>
      <c r="D454" s="3" t="str">
        <f>VLOOKUP(C454,'Location Summary'!$C$4:$D$602,2,0)</f>
        <v>DA+0</v>
      </c>
      <c r="E454" s="270" t="s">
        <v>405</v>
      </c>
      <c r="F454" s="271" t="s">
        <v>685</v>
      </c>
      <c r="M454" s="161">
        <v>1</v>
      </c>
      <c r="P454" s="161">
        <v>1</v>
      </c>
      <c r="Q454" s="160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14">
        <v>45586</v>
      </c>
      <c r="C455" s="117" t="s">
        <v>781</v>
      </c>
      <c r="D455" s="3" t="str">
        <f>VLOOKUP(C455,'Location Summary'!$C$4:$D$602,2,0)</f>
        <v>DA+9</v>
      </c>
      <c r="E455" s="270" t="s">
        <v>405</v>
      </c>
      <c r="F455" s="271" t="s">
        <v>685</v>
      </c>
      <c r="I455" s="159">
        <v>1</v>
      </c>
      <c r="N455" s="160">
        <v>1</v>
      </c>
      <c r="O455" s="159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14">
        <v>45586</v>
      </c>
      <c r="C456" s="117" t="s">
        <v>463</v>
      </c>
      <c r="D456" s="3" t="str">
        <f>VLOOKUP(C456,'Location Summary'!$C$4:$D$602,2,0)</f>
        <v>DA+6</v>
      </c>
      <c r="E456" s="270" t="s">
        <v>405</v>
      </c>
      <c r="F456" s="271" t="s">
        <v>685</v>
      </c>
      <c r="G456" s="161">
        <v>1</v>
      </c>
      <c r="P456" s="161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14">
        <v>45586</v>
      </c>
      <c r="C457" s="117" t="s">
        <v>597</v>
      </c>
      <c r="D457" s="3" t="str">
        <f>VLOOKUP(C457,'Location Summary'!$C$4:$D$602,2,0)</f>
        <v>DA+6</v>
      </c>
      <c r="E457" s="270" t="s">
        <v>405</v>
      </c>
      <c r="F457" s="271" t="s">
        <v>685</v>
      </c>
      <c r="G457" s="161">
        <v>1</v>
      </c>
      <c r="H457" s="160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14">
        <v>45586</v>
      </c>
      <c r="C458" s="117" t="s">
        <v>533</v>
      </c>
      <c r="D458" s="3" t="s">
        <v>2</v>
      </c>
      <c r="E458" s="270" t="s">
        <v>405</v>
      </c>
      <c r="F458" s="271" t="s">
        <v>685</v>
      </c>
      <c r="G458" s="161">
        <v>1</v>
      </c>
      <c r="J458" s="161">
        <v>1</v>
      </c>
      <c r="M458" s="161">
        <v>1</v>
      </c>
      <c r="P458" s="161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14">
        <v>45587</v>
      </c>
      <c r="C459" s="117" t="s">
        <v>433</v>
      </c>
      <c r="D459" s="3" t="str">
        <f>VLOOKUP(C459,'Location Summary'!$C$4:$D$602,2,0)</f>
        <v>DA+0</v>
      </c>
      <c r="E459" s="270" t="s">
        <v>405</v>
      </c>
      <c r="F459" s="271" t="s">
        <v>685</v>
      </c>
      <c r="I459" s="159">
        <v>1</v>
      </c>
      <c r="J459" s="161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14">
        <v>45587</v>
      </c>
      <c r="C460" s="117" t="s">
        <v>571</v>
      </c>
      <c r="D460" s="3" t="str">
        <f>VLOOKUP(C460,'Location Summary'!$C$4:$D$602,2,0)</f>
        <v>DA+0</v>
      </c>
      <c r="E460" s="270" t="s">
        <v>405</v>
      </c>
      <c r="F460" s="271" t="s">
        <v>685</v>
      </c>
      <c r="N460" s="160">
        <v>1</v>
      </c>
      <c r="O460" s="159">
        <v>1</v>
      </c>
      <c r="R460" s="159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14">
        <v>45587</v>
      </c>
      <c r="C461" s="117" t="s">
        <v>463</v>
      </c>
      <c r="D461" s="3" t="str">
        <f>VLOOKUP(C461,'Location Summary'!$C$4:$D$602,2,0)</f>
        <v>DA+6</v>
      </c>
      <c r="E461" s="270" t="s">
        <v>405</v>
      </c>
      <c r="F461" s="271" t="s">
        <v>685</v>
      </c>
      <c r="H461" s="160">
        <v>1</v>
      </c>
      <c r="I461" s="159">
        <v>1</v>
      </c>
      <c r="J461" s="161">
        <v>1</v>
      </c>
      <c r="M461" s="161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14">
        <v>45587</v>
      </c>
      <c r="C462" s="117" t="s">
        <v>597</v>
      </c>
      <c r="D462" s="3" t="str">
        <f>VLOOKUP(C462,'Location Summary'!$C$4:$D$602,2,0)</f>
        <v>DA+6</v>
      </c>
      <c r="E462" s="270" t="s">
        <v>405</v>
      </c>
      <c r="F462" s="271" t="s">
        <v>685</v>
      </c>
      <c r="I462" s="159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14">
        <v>45587</v>
      </c>
      <c r="C463" s="117" t="s">
        <v>533</v>
      </c>
      <c r="D463" s="3" t="s">
        <v>2</v>
      </c>
      <c r="E463" s="270" t="s">
        <v>405</v>
      </c>
      <c r="F463" s="271" t="s">
        <v>685</v>
      </c>
      <c r="H463" s="160">
        <v>1</v>
      </c>
      <c r="I463" s="159">
        <v>1</v>
      </c>
      <c r="K463" s="160">
        <v>1</v>
      </c>
      <c r="L463" s="159">
        <v>1</v>
      </c>
      <c r="N463" s="160">
        <v>1</v>
      </c>
      <c r="O463" s="159">
        <v>1</v>
      </c>
      <c r="Q463" s="160">
        <v>1</v>
      </c>
      <c r="R463" s="159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14">
        <v>45588</v>
      </c>
      <c r="C464" s="117" t="s">
        <v>574</v>
      </c>
      <c r="D464" s="3" t="str">
        <f>VLOOKUP(C464,'Location Summary'!$C$4:$D$602,2,0)</f>
        <v>DA+3</v>
      </c>
      <c r="E464" s="270" t="s">
        <v>405</v>
      </c>
      <c r="F464" s="271" t="s">
        <v>311</v>
      </c>
      <c r="J464" s="161">
        <v>1</v>
      </c>
      <c r="M464" s="161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14">
        <v>45588</v>
      </c>
      <c r="C465" s="117" t="s">
        <v>463</v>
      </c>
      <c r="D465" s="3" t="str">
        <f>VLOOKUP(C465,'Location Summary'!$C$4:$D$602,2,0)</f>
        <v>DA+6</v>
      </c>
      <c r="E465" s="270" t="s">
        <v>405</v>
      </c>
      <c r="F465" s="271" t="s">
        <v>685</v>
      </c>
      <c r="K465" s="160">
        <v>1</v>
      </c>
      <c r="L465" s="159">
        <v>1</v>
      </c>
      <c r="N465" s="160">
        <v>1</v>
      </c>
      <c r="O465" s="159">
        <v>1</v>
      </c>
      <c r="Q465" s="160">
        <v>1</v>
      </c>
      <c r="R465" s="159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14">
        <v>45588</v>
      </c>
      <c r="C466" s="117" t="s">
        <v>598</v>
      </c>
      <c r="D466" s="3" t="str">
        <f>VLOOKUP(C466,'Location Summary'!$C$4:$D$602,2,0)</f>
        <v>DA+1.5</v>
      </c>
      <c r="E466" s="270" t="s">
        <v>405</v>
      </c>
      <c r="F466" s="271" t="s">
        <v>685</v>
      </c>
      <c r="G466" s="161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14">
        <v>45588</v>
      </c>
      <c r="C467" s="117" t="s">
        <v>782</v>
      </c>
      <c r="D467" s="3" t="str">
        <f>VLOOKUP(C467,'Location Summary'!$C$4:$D$602,2,0)</f>
        <v>DA+3</v>
      </c>
      <c r="E467" s="270" t="s">
        <v>405</v>
      </c>
      <c r="F467" s="271" t="s">
        <v>685</v>
      </c>
      <c r="G467" s="161">
        <v>1</v>
      </c>
      <c r="J467" s="161">
        <v>1</v>
      </c>
      <c r="M467" s="161">
        <v>1</v>
      </c>
      <c r="N467" s="160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14">
        <v>45589</v>
      </c>
      <c r="C468" s="117" t="s">
        <v>433</v>
      </c>
      <c r="D468" s="3" t="str">
        <f>VLOOKUP(C468,'Location Summary'!$C$4:$D$602,2,0)</f>
        <v>DA+0</v>
      </c>
      <c r="E468" s="270" t="s">
        <v>405</v>
      </c>
      <c r="F468" s="271" t="s">
        <v>685</v>
      </c>
      <c r="K468" s="160">
        <v>1</v>
      </c>
      <c r="L468" s="159">
        <v>1</v>
      </c>
      <c r="P468" s="161">
        <v>1</v>
      </c>
      <c r="Q468" s="160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14">
        <v>45589</v>
      </c>
      <c r="C469" s="117" t="s">
        <v>574</v>
      </c>
      <c r="D469" s="3" t="str">
        <f>VLOOKUP(C469,'Location Summary'!$C$4:$D$602,2,0)</f>
        <v>DA+3</v>
      </c>
      <c r="E469" s="270" t="s">
        <v>405</v>
      </c>
      <c r="F469" s="271" t="s">
        <v>311</v>
      </c>
      <c r="K469" s="160">
        <v>1</v>
      </c>
      <c r="N469" s="160">
        <v>1</v>
      </c>
      <c r="P469" s="161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14">
        <v>45589</v>
      </c>
      <c r="C470" s="117" t="s">
        <v>782</v>
      </c>
      <c r="D470" s="3" t="str">
        <f>VLOOKUP(C470,'Location Summary'!$C$4:$D$602,2,0)</f>
        <v>DA+3</v>
      </c>
      <c r="E470" s="270" t="s">
        <v>405</v>
      </c>
      <c r="F470" s="271" t="s">
        <v>685</v>
      </c>
      <c r="H470" s="160">
        <v>1</v>
      </c>
      <c r="I470" s="159">
        <v>1</v>
      </c>
      <c r="O470" s="159">
        <v>1</v>
      </c>
      <c r="P470" s="161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14">
        <v>45589</v>
      </c>
      <c r="C471" s="117" t="s">
        <v>598</v>
      </c>
      <c r="D471" s="3" t="str">
        <f>VLOOKUP(C471,'Location Summary'!$C$4:$D$602,2,0)</f>
        <v>DA+1.5</v>
      </c>
      <c r="E471" s="270" t="s">
        <v>405</v>
      </c>
      <c r="F471" s="271" t="s">
        <v>685</v>
      </c>
      <c r="H471" s="160">
        <v>1</v>
      </c>
      <c r="I471" s="159">
        <v>1</v>
      </c>
      <c r="J471" s="161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14">
        <v>45590</v>
      </c>
      <c r="C472" s="117" t="s">
        <v>433</v>
      </c>
      <c r="D472" s="3" t="str">
        <f>VLOOKUP(C472,'Location Summary'!$C$4:$D$602,2,0)</f>
        <v>DA+0</v>
      </c>
      <c r="E472" s="270" t="s">
        <v>405</v>
      </c>
      <c r="F472" s="271" t="s">
        <v>685</v>
      </c>
      <c r="R472" s="159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14">
        <v>45590</v>
      </c>
      <c r="C473" s="117" t="s">
        <v>574</v>
      </c>
      <c r="D473" s="3" t="str">
        <f>VLOOKUP(C473,'Location Summary'!$C$4:$D$602,2,0)</f>
        <v>DA+3</v>
      </c>
      <c r="E473" s="270" t="s">
        <v>405</v>
      </c>
      <c r="F473" s="271" t="s">
        <v>685</v>
      </c>
      <c r="G473" s="161">
        <v>1</v>
      </c>
      <c r="H473" s="160">
        <v>1</v>
      </c>
      <c r="I473" s="159">
        <v>1</v>
      </c>
      <c r="L473" s="159">
        <v>1</v>
      </c>
      <c r="O473" s="159">
        <v>1</v>
      </c>
      <c r="R473" s="159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14">
        <v>45590</v>
      </c>
      <c r="C474" s="117" t="s">
        <v>782</v>
      </c>
      <c r="D474" s="3" t="str">
        <f>VLOOKUP(C474,'Location Summary'!$C$4:$D$602,2,0)</f>
        <v>DA+3</v>
      </c>
      <c r="E474" s="270" t="s">
        <v>405</v>
      </c>
      <c r="F474" s="271" t="s">
        <v>685</v>
      </c>
      <c r="L474" s="159">
        <v>1</v>
      </c>
      <c r="Q474" s="160">
        <v>1</v>
      </c>
      <c r="R474" s="159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14">
        <v>45590</v>
      </c>
      <c r="C475" s="117" t="s">
        <v>598</v>
      </c>
      <c r="D475" s="3" t="str">
        <f>VLOOKUP(C475,'Location Summary'!$C$4:$D$602,2,0)</f>
        <v>DA+1.5</v>
      </c>
      <c r="E475" s="270" t="s">
        <v>405</v>
      </c>
      <c r="F475" s="271" t="s">
        <v>685</v>
      </c>
      <c r="K475" s="160">
        <v>1</v>
      </c>
      <c r="L475" s="159">
        <v>1</v>
      </c>
      <c r="P475" s="161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4">
        <v>45591</v>
      </c>
      <c r="C476" s="117" t="s">
        <v>780</v>
      </c>
      <c r="D476" s="3" t="str">
        <f>VLOOKUP(C476,'Location Summary'!$C$4:$D$602,2,0)</f>
        <v>DA+3</v>
      </c>
      <c r="E476" s="270" t="s">
        <v>405</v>
      </c>
      <c r="F476" s="271" t="s">
        <v>685</v>
      </c>
      <c r="P476" s="161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14">
        <v>45591</v>
      </c>
      <c r="C477" s="117" t="s">
        <v>598</v>
      </c>
      <c r="D477" s="3" t="str">
        <f>VLOOKUP(C477,'Location Summary'!$C$4:$D$602,2,0)</f>
        <v>DA+1.5</v>
      </c>
      <c r="E477" s="270" t="s">
        <v>405</v>
      </c>
      <c r="F477" s="271" t="s">
        <v>685</v>
      </c>
      <c r="M477" s="161">
        <v>1</v>
      </c>
      <c r="Q477" s="160">
        <v>1</v>
      </c>
      <c r="R477" s="159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14">
        <v>45591</v>
      </c>
      <c r="C478" s="117" t="s">
        <v>531</v>
      </c>
      <c r="D478" s="3" t="s">
        <v>79</v>
      </c>
      <c r="E478" s="270" t="s">
        <v>405</v>
      </c>
      <c r="F478" s="271" t="s">
        <v>685</v>
      </c>
      <c r="M478" s="161">
        <v>1</v>
      </c>
      <c r="P478" s="161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14">
        <v>45592</v>
      </c>
      <c r="C479" s="117" t="s">
        <v>900</v>
      </c>
      <c r="D479" s="3" t="str">
        <f>VLOOKUP(C479,'Location Summary'!$C$4:$D$602,2,0)</f>
        <v>DB1+0</v>
      </c>
      <c r="E479" s="270" t="s">
        <v>405</v>
      </c>
      <c r="F479" s="271" t="s">
        <v>685</v>
      </c>
      <c r="G479" s="161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14">
        <v>45592</v>
      </c>
      <c r="C480" s="117" t="s">
        <v>780</v>
      </c>
      <c r="D480" s="3" t="str">
        <f>VLOOKUP(C480,'Location Summary'!$C$4:$D$602,2,0)</f>
        <v>DA+3</v>
      </c>
      <c r="E480" s="270" t="s">
        <v>405</v>
      </c>
      <c r="F480" s="271" t="s">
        <v>685</v>
      </c>
      <c r="G480" s="161">
        <v>1</v>
      </c>
      <c r="Q480" s="160">
        <v>1</v>
      </c>
      <c r="R480" s="159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14">
        <v>45592</v>
      </c>
      <c r="C481" s="117" t="s">
        <v>598</v>
      </c>
      <c r="D481" s="3" t="str">
        <f>VLOOKUP(C481,'Location Summary'!$C$4:$D$602,2,0)</f>
        <v>DA+1.5</v>
      </c>
      <c r="E481" s="270" t="s">
        <v>405</v>
      </c>
      <c r="F481" s="271" t="s">
        <v>685</v>
      </c>
      <c r="N481" s="160">
        <v>1</v>
      </c>
      <c r="O481" s="159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14">
        <v>45593</v>
      </c>
      <c r="C482" s="117" t="s">
        <v>900</v>
      </c>
      <c r="D482" s="3" t="str">
        <f>VLOOKUP(C482,'Location Summary'!$C$4:$D$602,2,0)</f>
        <v>DB1+0</v>
      </c>
      <c r="E482" s="270" t="s">
        <v>405</v>
      </c>
      <c r="F482" s="271" t="s">
        <v>685</v>
      </c>
      <c r="H482" s="160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4">
        <v>45593</v>
      </c>
      <c r="C483" s="117" t="s">
        <v>780</v>
      </c>
      <c r="D483" s="3" t="str">
        <f>VLOOKUP(C483,'Location Summary'!$C$4:$D$602,2,0)</f>
        <v>DA+3</v>
      </c>
      <c r="E483" s="270" t="s">
        <v>405</v>
      </c>
      <c r="F483" s="271" t="s">
        <v>685</v>
      </c>
      <c r="H483" s="160">
        <v>1</v>
      </c>
      <c r="I483" s="159">
        <v>1</v>
      </c>
      <c r="M483" s="161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14">
        <v>45593</v>
      </c>
      <c r="C484" s="117" t="s">
        <v>474</v>
      </c>
      <c r="D484" s="3" t="str">
        <f>VLOOKUP(C484,'Location Summary'!$C$4:$D$602,2,0)</f>
        <v>DA+3</v>
      </c>
      <c r="E484" s="270" t="s">
        <v>405</v>
      </c>
      <c r="F484" s="271" t="s">
        <v>685</v>
      </c>
      <c r="M484" s="161">
        <v>1</v>
      </c>
      <c r="P484" s="161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14">
        <v>45593</v>
      </c>
      <c r="C485" s="117" t="s">
        <v>531</v>
      </c>
      <c r="D485" s="3" t="s">
        <v>79</v>
      </c>
      <c r="E485" s="270" t="s">
        <v>405</v>
      </c>
      <c r="F485" s="271" t="s">
        <v>685</v>
      </c>
      <c r="G485" s="161">
        <v>1</v>
      </c>
      <c r="J485" s="161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14">
        <v>45593</v>
      </c>
      <c r="C486" s="117" t="s">
        <v>597</v>
      </c>
      <c r="D486" s="3" t="str">
        <f>VLOOKUP(C486,'Location Summary'!$C$4:$D$602,2,0)</f>
        <v>DA+6</v>
      </c>
      <c r="E486" s="270" t="s">
        <v>405</v>
      </c>
      <c r="F486" s="271" t="s">
        <v>685</v>
      </c>
      <c r="J486" s="161">
        <v>1</v>
      </c>
      <c r="K486" s="160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14">
        <v>45594</v>
      </c>
      <c r="C487" s="117" t="s">
        <v>900</v>
      </c>
      <c r="D487" s="3" t="str">
        <f>VLOOKUP(C487,'Location Summary'!$C$4:$D$602,2,0)</f>
        <v>DB1+0</v>
      </c>
      <c r="E487" s="270" t="s">
        <v>405</v>
      </c>
      <c r="F487" s="271" t="s">
        <v>685</v>
      </c>
      <c r="I487" s="159">
        <v>1</v>
      </c>
      <c r="P487" s="161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14">
        <v>45594</v>
      </c>
      <c r="C488" s="117" t="s">
        <v>780</v>
      </c>
      <c r="D488" s="3" t="str">
        <f>VLOOKUP(C488,'Location Summary'!$C$4:$D$602,2,0)</f>
        <v>DA+3</v>
      </c>
      <c r="E488" s="270" t="s">
        <v>405</v>
      </c>
      <c r="F488" s="271" t="s">
        <v>685</v>
      </c>
      <c r="J488" s="161">
        <v>1</v>
      </c>
      <c r="N488" s="160">
        <v>1</v>
      </c>
      <c r="O488" s="159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14">
        <v>45594</v>
      </c>
      <c r="C489" s="117" t="s">
        <v>474</v>
      </c>
      <c r="D489" s="3" t="str">
        <f>VLOOKUP(C489,'Location Summary'!$C$4:$D$602,2,0)</f>
        <v>DA+3</v>
      </c>
      <c r="E489" s="270" t="s">
        <v>405</v>
      </c>
      <c r="F489" s="271" t="s">
        <v>685</v>
      </c>
      <c r="N489" s="160">
        <v>1</v>
      </c>
      <c r="O489" s="159">
        <v>1</v>
      </c>
      <c r="Q489" s="160">
        <v>1</v>
      </c>
      <c r="R489" s="159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14">
        <v>45594</v>
      </c>
      <c r="C490" s="117" t="s">
        <v>597</v>
      </c>
      <c r="D490" s="3" t="str">
        <f>VLOOKUP(C490,'Location Summary'!$C$4:$D$602,2,0)</f>
        <v>DA+6</v>
      </c>
      <c r="E490" s="270" t="s">
        <v>405</v>
      </c>
      <c r="F490" s="271" t="s">
        <v>685</v>
      </c>
      <c r="L490" s="159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14">
        <v>45594</v>
      </c>
      <c r="C491" s="117" t="s">
        <v>531</v>
      </c>
      <c r="D491" s="3" t="s">
        <v>79</v>
      </c>
      <c r="E491" s="270" t="s">
        <v>405</v>
      </c>
      <c r="F491" s="271" t="s">
        <v>685</v>
      </c>
      <c r="H491" s="160">
        <v>1</v>
      </c>
      <c r="I491" s="159">
        <v>1</v>
      </c>
      <c r="K491" s="160">
        <v>1</v>
      </c>
      <c r="L491" s="159">
        <v>1</v>
      </c>
      <c r="N491" s="160">
        <v>1</v>
      </c>
      <c r="O491" s="159">
        <v>1</v>
      </c>
      <c r="Q491" s="160">
        <v>1</v>
      </c>
      <c r="R491" s="159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14">
        <v>45595</v>
      </c>
      <c r="C492" s="117" t="s">
        <v>900</v>
      </c>
      <c r="D492" s="3" t="str">
        <f>VLOOKUP(C492,'Location Summary'!$C$4:$D$602,2,0)</f>
        <v>DB1+0</v>
      </c>
      <c r="E492" s="270" t="s">
        <v>405</v>
      </c>
      <c r="F492" s="271" t="s">
        <v>685</v>
      </c>
      <c r="M492" s="161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14">
        <v>45595</v>
      </c>
      <c r="C493" s="117" t="s">
        <v>780</v>
      </c>
      <c r="D493" s="3" t="str">
        <f>VLOOKUP(C493,'Location Summary'!$C$4:$D$602,2,0)</f>
        <v>DA+3</v>
      </c>
      <c r="E493" s="270" t="s">
        <v>405</v>
      </c>
      <c r="F493" s="271" t="s">
        <v>685</v>
      </c>
      <c r="K493" s="160">
        <v>1</v>
      </c>
      <c r="L493" s="159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14">
        <v>45600</v>
      </c>
      <c r="C494" s="117" t="s">
        <v>900</v>
      </c>
      <c r="D494" s="3" t="str">
        <f>VLOOKUP(C494,'Location Summary'!$C$4:$D$602,2,0)</f>
        <v>DB1+0</v>
      </c>
      <c r="E494" s="270" t="s">
        <v>405</v>
      </c>
      <c r="F494" s="271" t="s">
        <v>685</v>
      </c>
      <c r="Q494" s="160">
        <v>1</v>
      </c>
      <c r="R494" s="159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14">
        <v>45600</v>
      </c>
      <c r="C495" s="117" t="s">
        <v>600</v>
      </c>
      <c r="D495" s="3" t="str">
        <f>VLOOKUP(C495,'Location Summary'!$C$4:$D$602,2,0)</f>
        <v>DA+3</v>
      </c>
      <c r="E495" s="270" t="s">
        <v>405</v>
      </c>
      <c r="F495" s="271" t="s">
        <v>311</v>
      </c>
      <c r="J495" s="161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14">
        <v>45601</v>
      </c>
      <c r="C496" s="117" t="s">
        <v>900</v>
      </c>
      <c r="D496" s="3" t="str">
        <f>VLOOKUP(C496,'Location Summary'!$C$4:$D$602,2,0)</f>
        <v>DB1+0</v>
      </c>
      <c r="E496" s="270" t="s">
        <v>405</v>
      </c>
      <c r="F496" s="271" t="s">
        <v>685</v>
      </c>
      <c r="J496" s="161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14">
        <v>45601</v>
      </c>
      <c r="C497" s="117" t="s">
        <v>779</v>
      </c>
      <c r="D497" s="3" t="str">
        <f>VLOOKUP(C497,'Location Summary'!$C$4:$D$602,2,0)</f>
        <v>DA+1.5</v>
      </c>
      <c r="E497" s="270" t="s">
        <v>405</v>
      </c>
      <c r="F497" s="271" t="s">
        <v>685</v>
      </c>
      <c r="G497" s="161">
        <v>1</v>
      </c>
      <c r="J497" s="161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14">
        <v>45601</v>
      </c>
      <c r="C498" s="117" t="s">
        <v>600</v>
      </c>
      <c r="D498" s="3" t="str">
        <f>VLOOKUP(C498,'Location Summary'!$C$4:$D$602,2,0)</f>
        <v>DA+3</v>
      </c>
      <c r="E498" s="270" t="s">
        <v>405</v>
      </c>
      <c r="F498" s="271" t="s">
        <v>685</v>
      </c>
      <c r="G498" s="161">
        <v>1</v>
      </c>
      <c r="K498" s="160">
        <v>1</v>
      </c>
      <c r="L498" s="159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14">
        <v>45602</v>
      </c>
      <c r="C499" s="117" t="s">
        <v>900</v>
      </c>
      <c r="D499" s="3" t="str">
        <f>VLOOKUP(C499,'Location Summary'!$C$4:$D$602,2,0)</f>
        <v>DB1+0</v>
      </c>
      <c r="E499" s="270" t="s">
        <v>405</v>
      </c>
      <c r="F499" s="271" t="s">
        <v>685</v>
      </c>
      <c r="N499" s="160">
        <v>1</v>
      </c>
      <c r="O499" s="159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14">
        <v>45602</v>
      </c>
      <c r="C500" s="117" t="s">
        <v>779</v>
      </c>
      <c r="D500" s="3" t="str">
        <f>VLOOKUP(C500,'Location Summary'!$C$4:$D$602,2,0)</f>
        <v>DA+1.5</v>
      </c>
      <c r="E500" s="270" t="s">
        <v>405</v>
      </c>
      <c r="F500" s="271" t="s">
        <v>685</v>
      </c>
      <c r="M500" s="161">
        <v>1</v>
      </c>
      <c r="P500" s="161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4">
        <v>45602</v>
      </c>
      <c r="C501" s="117" t="s">
        <v>474</v>
      </c>
      <c r="D501" s="3" t="str">
        <f>VLOOKUP(C501,'Location Summary'!$C$4:$D$602,2,0)</f>
        <v>DA+3</v>
      </c>
      <c r="E501" s="270" t="s">
        <v>405</v>
      </c>
      <c r="F501" s="271" t="s">
        <v>685</v>
      </c>
      <c r="G501" s="161">
        <v>1</v>
      </c>
      <c r="H501" s="160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14">
        <v>45602</v>
      </c>
      <c r="C502" s="117" t="s">
        <v>600</v>
      </c>
      <c r="D502" s="3" t="str">
        <f>VLOOKUP(C502,'Location Summary'!$C$4:$D$602,2,0)</f>
        <v>DA+3</v>
      </c>
      <c r="E502" s="270" t="s">
        <v>405</v>
      </c>
      <c r="F502" s="271" t="s">
        <v>685</v>
      </c>
      <c r="H502" s="160">
        <v>1</v>
      </c>
      <c r="I502" s="159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14">
        <v>45603</v>
      </c>
      <c r="C503" s="117" t="s">
        <v>900</v>
      </c>
      <c r="D503" s="3" t="str">
        <f>VLOOKUP(C503,'Location Summary'!$C$4:$D$602,2,0)</f>
        <v>DB1+0</v>
      </c>
      <c r="E503" s="270" t="s">
        <v>405</v>
      </c>
      <c r="F503" s="271" t="s">
        <v>685</v>
      </c>
      <c r="K503" s="160">
        <v>1</v>
      </c>
      <c r="L503" s="159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14">
        <v>45603</v>
      </c>
      <c r="C504" s="117" t="s">
        <v>779</v>
      </c>
      <c r="D504" s="3" t="str">
        <f>VLOOKUP(C504,'Location Summary'!$C$4:$D$602,2,0)</f>
        <v>DA+1.5</v>
      </c>
      <c r="E504" s="270" t="s">
        <v>405</v>
      </c>
      <c r="F504" s="271" t="s">
        <v>685</v>
      </c>
      <c r="H504" s="160">
        <v>1</v>
      </c>
      <c r="K504" s="160">
        <v>1</v>
      </c>
      <c r="L504" s="159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14">
        <v>45603</v>
      </c>
      <c r="C505" s="117" t="s">
        <v>474</v>
      </c>
      <c r="D505" s="3" t="str">
        <f>VLOOKUP(C505,'Location Summary'!$C$4:$D$602,2,0)</f>
        <v>DA+3</v>
      </c>
      <c r="E505" s="270" t="s">
        <v>405</v>
      </c>
      <c r="F505" s="271" t="s">
        <v>685</v>
      </c>
      <c r="I505" s="159">
        <v>1</v>
      </c>
      <c r="J505" s="161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14">
        <v>45603</v>
      </c>
      <c r="C506" s="117" t="s">
        <v>51</v>
      </c>
      <c r="D506" s="3" t="str">
        <f>VLOOKUP(C506,'Location Summary'!$C$4:$D$602,2,0)</f>
        <v>DB2+6</v>
      </c>
      <c r="E506" s="270" t="s">
        <v>405</v>
      </c>
      <c r="F506" s="271" t="s">
        <v>685</v>
      </c>
      <c r="M506" s="161">
        <v>1</v>
      </c>
      <c r="P506" s="161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14">
        <v>45604</v>
      </c>
      <c r="C507" s="117" t="s">
        <v>779</v>
      </c>
      <c r="D507" s="3" t="str">
        <f>VLOOKUP(C507,'Location Summary'!$C$4:$D$602,2,0)</f>
        <v>DA+1.5</v>
      </c>
      <c r="E507" s="270" t="s">
        <v>405</v>
      </c>
      <c r="F507" s="271" t="s">
        <v>685</v>
      </c>
      <c r="I507" s="159">
        <v>1</v>
      </c>
      <c r="N507" s="160">
        <v>1</v>
      </c>
      <c r="O507" s="159">
        <v>1</v>
      </c>
      <c r="Q507" s="160">
        <v>1</v>
      </c>
      <c r="R507" s="159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14">
        <v>45604</v>
      </c>
      <c r="C508" s="117" t="s">
        <v>474</v>
      </c>
      <c r="D508" s="3" t="str">
        <f>VLOOKUP(C508,'Location Summary'!$C$4:$D$602,2,0)</f>
        <v>DA+3</v>
      </c>
      <c r="E508" s="270" t="s">
        <v>405</v>
      </c>
      <c r="F508" s="271" t="s">
        <v>685</v>
      </c>
      <c r="K508" s="160">
        <v>1</v>
      </c>
      <c r="L508" s="159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14">
        <v>45604</v>
      </c>
      <c r="C509" s="117" t="s">
        <v>600</v>
      </c>
      <c r="D509" s="3" t="str">
        <f>VLOOKUP(C509,'Location Summary'!$C$4:$D$602,2,0)</f>
        <v>DA+3</v>
      </c>
      <c r="E509" s="270" t="s">
        <v>405</v>
      </c>
      <c r="F509" s="271" t="s">
        <v>685</v>
      </c>
      <c r="M509" s="161">
        <v>1</v>
      </c>
      <c r="P509" s="161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14">
        <v>45604</v>
      </c>
      <c r="C510" s="117" t="s">
        <v>575</v>
      </c>
      <c r="D510" s="3" t="str">
        <f>VLOOKUP(C510,'Location Summary'!$C$4:$D$602,2,0)</f>
        <v>DA+1.5</v>
      </c>
      <c r="E510" s="270" t="s">
        <v>405</v>
      </c>
      <c r="F510" s="271" t="s">
        <v>685</v>
      </c>
      <c r="P510" s="161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14">
        <v>45605</v>
      </c>
      <c r="C511" s="117" t="s">
        <v>600</v>
      </c>
      <c r="D511" s="3" t="str">
        <f>VLOOKUP(C511,'Location Summary'!$C$4:$D$602,2,0)</f>
        <v>DA+3</v>
      </c>
      <c r="E511" s="270" t="s">
        <v>405</v>
      </c>
      <c r="F511" s="271" t="s">
        <v>685</v>
      </c>
      <c r="N511" s="160">
        <v>1</v>
      </c>
      <c r="O511" s="159">
        <v>1</v>
      </c>
      <c r="Q511" s="160">
        <v>1</v>
      </c>
      <c r="R511" s="159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14">
        <v>45605</v>
      </c>
      <c r="C512" s="117" t="s">
        <v>51</v>
      </c>
      <c r="D512" s="3" t="str">
        <f>VLOOKUP(C512,'Location Summary'!$C$4:$D$602,2,0)</f>
        <v>DB2+6</v>
      </c>
      <c r="E512" s="270" t="s">
        <v>405</v>
      </c>
      <c r="F512" s="271" t="s">
        <v>685</v>
      </c>
      <c r="G512" s="161">
        <v>1</v>
      </c>
      <c r="Q512" s="160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14">
        <v>45605</v>
      </c>
      <c r="C513" s="117" t="s">
        <v>575</v>
      </c>
      <c r="D513" s="3" t="str">
        <f>VLOOKUP(C513,'Location Summary'!$C$4:$D$602,2,0)</f>
        <v>DA+1.5</v>
      </c>
      <c r="E513" s="270" t="s">
        <v>405</v>
      </c>
      <c r="F513" s="271" t="s">
        <v>685</v>
      </c>
      <c r="G513" s="161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14">
        <v>45606</v>
      </c>
      <c r="C514" s="117" t="s">
        <v>778</v>
      </c>
      <c r="D514" s="3" t="str">
        <f>VLOOKUP(C514,'Location Summary'!$C$4:$D$602,2,0)</f>
        <v>DA+3</v>
      </c>
      <c r="E514" s="270" t="s">
        <v>405</v>
      </c>
      <c r="F514" s="271" t="s">
        <v>685</v>
      </c>
      <c r="J514" s="161">
        <v>1</v>
      </c>
      <c r="M514" s="161">
        <v>1</v>
      </c>
      <c r="P514" s="161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14">
        <v>45606</v>
      </c>
      <c r="C515" s="117" t="s">
        <v>51</v>
      </c>
      <c r="D515" s="3" t="str">
        <f>VLOOKUP(C515,'Location Summary'!$C$4:$D$602,2,0)</f>
        <v>DB2+6</v>
      </c>
      <c r="E515" s="270" t="s">
        <v>405</v>
      </c>
      <c r="F515" s="271" t="s">
        <v>685</v>
      </c>
      <c r="N515" s="160">
        <v>1</v>
      </c>
      <c r="O515" s="159">
        <v>1</v>
      </c>
      <c r="R515" s="159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14">
        <v>45606</v>
      </c>
      <c r="C516" s="117" t="s">
        <v>575</v>
      </c>
      <c r="D516" s="3" t="str">
        <f>VLOOKUP(C516,'Location Summary'!$C$4:$D$602,2,0)</f>
        <v>DA+1.5</v>
      </c>
      <c r="E516" s="270" t="s">
        <v>405</v>
      </c>
      <c r="F516" s="271" t="s">
        <v>685</v>
      </c>
      <c r="H516" s="160">
        <v>1</v>
      </c>
      <c r="J516" s="161">
        <v>1</v>
      </c>
      <c r="M516" s="161">
        <v>1</v>
      </c>
      <c r="Q516" s="160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14">
        <v>45607</v>
      </c>
      <c r="C517" s="117" t="s">
        <v>778</v>
      </c>
      <c r="D517" s="3" t="str">
        <f>VLOOKUP(C517,'Location Summary'!$C$4:$D$602,2,0)</f>
        <v>DA+3</v>
      </c>
      <c r="E517" s="270" t="s">
        <v>405</v>
      </c>
      <c r="F517" s="271" t="s">
        <v>685</v>
      </c>
      <c r="G517" s="161">
        <v>1</v>
      </c>
      <c r="N517" s="160">
        <v>1</v>
      </c>
      <c r="O517" s="159">
        <v>1</v>
      </c>
      <c r="Q517" s="160">
        <v>1</v>
      </c>
      <c r="R517" s="159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14">
        <v>45607</v>
      </c>
      <c r="C518" s="117" t="s">
        <v>51</v>
      </c>
      <c r="D518" s="3" t="str">
        <f>VLOOKUP(C518,'Location Summary'!$C$4:$D$602,2,0)</f>
        <v>DB2+6</v>
      </c>
      <c r="E518" s="270" t="s">
        <v>405</v>
      </c>
      <c r="F518" s="271" t="s">
        <v>685</v>
      </c>
      <c r="H518" s="160">
        <v>1</v>
      </c>
      <c r="I518" s="159">
        <v>1</v>
      </c>
      <c r="J518" s="161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14">
        <v>45607</v>
      </c>
      <c r="C519" s="117" t="s">
        <v>575</v>
      </c>
      <c r="D519" s="3" t="str">
        <f>VLOOKUP(C519,'Location Summary'!$C$4:$D$602,2,0)</f>
        <v>DA+1.5</v>
      </c>
      <c r="E519" s="270" t="s">
        <v>405</v>
      </c>
      <c r="F519" s="271" t="s">
        <v>685</v>
      </c>
      <c r="I519" s="159">
        <v>1</v>
      </c>
      <c r="K519" s="160">
        <v>1</v>
      </c>
      <c r="L519" s="159">
        <v>1</v>
      </c>
      <c r="N519" s="160">
        <v>1</v>
      </c>
      <c r="O519" s="159">
        <v>1</v>
      </c>
      <c r="R519" s="159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14">
        <v>45608</v>
      </c>
      <c r="C520" s="117" t="s">
        <v>778</v>
      </c>
      <c r="D520" s="3" t="str">
        <f>VLOOKUP(C520,'Location Summary'!$C$4:$D$602,2,0)</f>
        <v>DA+3</v>
      </c>
      <c r="E520" s="270" t="s">
        <v>405</v>
      </c>
      <c r="F520" s="271" t="s">
        <v>685</v>
      </c>
      <c r="H520" s="160">
        <v>1</v>
      </c>
      <c r="I520" s="159">
        <v>1</v>
      </c>
      <c r="K520" s="160">
        <v>1</v>
      </c>
      <c r="L520" s="159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14">
        <v>45608</v>
      </c>
      <c r="C521" s="117" t="s">
        <v>493</v>
      </c>
      <c r="D521" s="3" t="str">
        <f>VLOOKUP(C521,'Location Summary'!$C$4:$D$602,2,0)</f>
        <v>DB1+6</v>
      </c>
      <c r="E521" s="270" t="s">
        <v>405</v>
      </c>
      <c r="F521" s="271" t="s">
        <v>685</v>
      </c>
      <c r="P521" s="161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14">
        <v>45608</v>
      </c>
      <c r="C522" s="117" t="s">
        <v>8</v>
      </c>
      <c r="D522" s="3" t="str">
        <f>VLOOKUP(C522,'Location Summary'!$C$4:$D$602,2,0)</f>
        <v>DB2+3</v>
      </c>
      <c r="E522" s="270" t="s">
        <v>405</v>
      </c>
      <c r="F522" s="271" t="s">
        <v>685</v>
      </c>
      <c r="J522" s="161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14">
        <v>45608</v>
      </c>
      <c r="C523" s="117" t="s">
        <v>51</v>
      </c>
      <c r="D523" s="3" t="str">
        <f>VLOOKUP(C523,'Location Summary'!$C$4:$D$602,2,0)</f>
        <v>DB2+6</v>
      </c>
      <c r="E523" s="270" t="s">
        <v>405</v>
      </c>
      <c r="F523" s="271" t="s">
        <v>685</v>
      </c>
      <c r="K523" s="160">
        <v>1</v>
      </c>
      <c r="L523" s="159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4">
        <v>45610</v>
      </c>
      <c r="C524" s="117" t="s">
        <v>616</v>
      </c>
      <c r="D524" s="3" t="str">
        <f>VLOOKUP(C524,'Location Summary'!$C$4:$D$602,2,0)</f>
        <v>DA+1.5</v>
      </c>
      <c r="E524" s="270" t="s">
        <v>405</v>
      </c>
      <c r="F524" s="271" t="s">
        <v>685</v>
      </c>
      <c r="J524" s="161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14">
        <v>45610</v>
      </c>
      <c r="C525" s="117" t="s">
        <v>606</v>
      </c>
      <c r="D525" s="3" t="str">
        <f>VLOOKUP(C525,'Location Summary'!$C$4:$D$602,2,0)</f>
        <v>DA+9</v>
      </c>
      <c r="E525" s="270" t="s">
        <v>405</v>
      </c>
      <c r="F525" s="271" t="s">
        <v>685</v>
      </c>
      <c r="G525" s="161">
        <v>1</v>
      </c>
      <c r="P525" s="161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14">
        <v>45610</v>
      </c>
      <c r="C526" s="117" t="s">
        <v>493</v>
      </c>
      <c r="D526" s="3" t="str">
        <f>VLOOKUP(C526,'Location Summary'!$C$4:$D$602,2,0)</f>
        <v>DB1+6</v>
      </c>
      <c r="E526" s="270" t="s">
        <v>405</v>
      </c>
      <c r="F526" s="271" t="s">
        <v>685</v>
      </c>
      <c r="M526" s="161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14">
        <v>45610</v>
      </c>
      <c r="C527" s="117" t="s">
        <v>8</v>
      </c>
      <c r="D527" s="3" t="str">
        <f>VLOOKUP(C527,'Location Summary'!$C$4:$D$602,2,0)</f>
        <v>DB2+3</v>
      </c>
      <c r="E527" s="270" t="s">
        <v>405</v>
      </c>
      <c r="F527" s="271" t="s">
        <v>685</v>
      </c>
      <c r="G527" s="161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14">
        <v>45610</v>
      </c>
      <c r="C528" s="117" t="s">
        <v>192</v>
      </c>
      <c r="D528" s="3" t="str">
        <f>VLOOKUP(C528,'Location Summary'!$C$4:$D$602,2,0)</f>
        <v>DA+3</v>
      </c>
      <c r="E528" s="270" t="s">
        <v>405</v>
      </c>
      <c r="F528" s="271" t="s">
        <v>685</v>
      </c>
      <c r="J528" s="161">
        <v>1</v>
      </c>
      <c r="M528" s="161">
        <v>1</v>
      </c>
      <c r="P528" s="161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14">
        <v>45611</v>
      </c>
      <c r="C529" s="117" t="s">
        <v>616</v>
      </c>
      <c r="D529" s="3" t="str">
        <f>VLOOKUP(C529,'Location Summary'!$C$4:$D$602,2,0)</f>
        <v>DA+1.5</v>
      </c>
      <c r="E529" s="270" t="s">
        <v>405</v>
      </c>
      <c r="F529" s="271" t="s">
        <v>685</v>
      </c>
      <c r="K529" s="160">
        <v>1</v>
      </c>
      <c r="P529" s="161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14">
        <v>45611</v>
      </c>
      <c r="C530" s="117" t="s">
        <v>606</v>
      </c>
      <c r="D530" s="3" t="str">
        <f>VLOOKUP(C530,'Location Summary'!$C$4:$D$602,2,0)</f>
        <v>DA+9</v>
      </c>
      <c r="E530" s="270" t="s">
        <v>405</v>
      </c>
      <c r="F530" s="271" t="s">
        <v>685</v>
      </c>
      <c r="Q530" s="160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14">
        <v>45611</v>
      </c>
      <c r="C531" s="117" t="s">
        <v>8</v>
      </c>
      <c r="D531" s="3" t="str">
        <f>VLOOKUP(C531,'Location Summary'!$C$4:$D$602,2,0)</f>
        <v>DB2+3</v>
      </c>
      <c r="E531" s="270" t="s">
        <v>405</v>
      </c>
      <c r="F531" s="271" t="s">
        <v>685</v>
      </c>
      <c r="K531" s="160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14">
        <v>45611</v>
      </c>
      <c r="C532" s="117" t="s">
        <v>192</v>
      </c>
      <c r="D532" s="3" t="str">
        <f>VLOOKUP(C532,'Location Summary'!$C$4:$D$602,2,0)</f>
        <v>DA+3</v>
      </c>
      <c r="E532" s="270" t="s">
        <v>405</v>
      </c>
      <c r="F532" s="271" t="s">
        <v>685</v>
      </c>
      <c r="G532" s="161">
        <v>1</v>
      </c>
      <c r="K532" s="160">
        <v>1</v>
      </c>
      <c r="L532" s="159">
        <v>1</v>
      </c>
      <c r="N532" s="160">
        <v>1</v>
      </c>
      <c r="O532" s="159">
        <v>1</v>
      </c>
      <c r="Q532" s="160">
        <v>1</v>
      </c>
      <c r="R532" s="159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14">
        <v>45612</v>
      </c>
      <c r="C533" s="117" t="s">
        <v>616</v>
      </c>
      <c r="D533" s="3" t="str">
        <f>VLOOKUP(C533,'Location Summary'!$C$4:$D$602,2,0)</f>
        <v>DA+1.5</v>
      </c>
      <c r="E533" s="270" t="s">
        <v>405</v>
      </c>
      <c r="F533" s="271" t="s">
        <v>685</v>
      </c>
      <c r="M533" s="161">
        <v>1</v>
      </c>
      <c r="Q533" s="160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14">
        <v>45612</v>
      </c>
      <c r="C534" s="117" t="s">
        <v>606</v>
      </c>
      <c r="D534" s="3" t="str">
        <f>VLOOKUP(C534,'Location Summary'!$C$4:$D$602,2,0)</f>
        <v>DA+9</v>
      </c>
      <c r="E534" s="270" t="s">
        <v>405</v>
      </c>
      <c r="F534" s="271" t="s">
        <v>685</v>
      </c>
      <c r="H534" s="160">
        <v>1</v>
      </c>
      <c r="I534" s="159">
        <v>1</v>
      </c>
      <c r="J534" s="161">
        <v>1</v>
      </c>
      <c r="M534" s="161">
        <v>1</v>
      </c>
      <c r="R534" s="159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14">
        <v>45612</v>
      </c>
      <c r="C535" s="117" t="s">
        <v>493</v>
      </c>
      <c r="D535" s="3" t="str">
        <f>VLOOKUP(C535,'Location Summary'!$C$4:$D$602,2,0)</f>
        <v>DB1+6</v>
      </c>
      <c r="E535" s="270" t="s">
        <v>405</v>
      </c>
      <c r="F535" s="271" t="s">
        <v>685</v>
      </c>
      <c r="G535" s="161">
        <v>1</v>
      </c>
      <c r="N535" s="160">
        <v>1</v>
      </c>
      <c r="Q535" s="160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14">
        <v>45612</v>
      </c>
      <c r="C536" s="117" t="s">
        <v>8</v>
      </c>
      <c r="D536" s="3" t="str">
        <f>VLOOKUP(C536,'Location Summary'!$C$4:$D$602,2,0)</f>
        <v>DB2+3</v>
      </c>
      <c r="E536" s="270" t="s">
        <v>405</v>
      </c>
      <c r="F536" s="271" t="s">
        <v>685</v>
      </c>
      <c r="L536" s="159">
        <v>1</v>
      </c>
      <c r="P536" s="161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14">
        <v>45612</v>
      </c>
      <c r="C537" s="117" t="s">
        <v>192</v>
      </c>
      <c r="D537" s="3" t="str">
        <f>VLOOKUP(C537,'Location Summary'!$C$4:$D$602,2,0)</f>
        <v>DA+3</v>
      </c>
      <c r="E537" s="270" t="s">
        <v>405</v>
      </c>
      <c r="F537" s="271" t="s">
        <v>685</v>
      </c>
      <c r="H537" s="160">
        <v>1</v>
      </c>
      <c r="I537" s="159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14">
        <v>45612</v>
      </c>
      <c r="C538" s="117" t="s">
        <v>166</v>
      </c>
      <c r="D538" s="3" t="str">
        <f>VLOOKUP(C538,'Location Summary'!$C$4:$D$602,2,0)</f>
        <v>DB1+6</v>
      </c>
      <c r="E538" s="270" t="s">
        <v>405</v>
      </c>
      <c r="F538" s="271" t="s">
        <v>685</v>
      </c>
      <c r="M538" s="161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14">
        <v>45613</v>
      </c>
      <c r="C539" s="117" t="s">
        <v>616</v>
      </c>
      <c r="D539" s="3" t="str">
        <f>VLOOKUP(C539,'Location Summary'!$C$4:$D$602,2,0)</f>
        <v>DA+1.5</v>
      </c>
      <c r="E539" s="270" t="s">
        <v>405</v>
      </c>
      <c r="F539" s="271" t="s">
        <v>685</v>
      </c>
      <c r="G539" s="161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14">
        <v>45613</v>
      </c>
      <c r="C540" s="117" t="s">
        <v>606</v>
      </c>
      <c r="D540" s="3" t="str">
        <f>VLOOKUP(C540,'Location Summary'!$C$4:$D$602,2,0)</f>
        <v>DA+9</v>
      </c>
      <c r="E540" s="270" t="s">
        <v>405</v>
      </c>
      <c r="F540" s="271" t="s">
        <v>685</v>
      </c>
      <c r="K540" s="160">
        <v>1</v>
      </c>
      <c r="L540" s="159">
        <v>1</v>
      </c>
      <c r="N540" s="160">
        <v>1</v>
      </c>
      <c r="O540" s="159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14">
        <v>45613</v>
      </c>
      <c r="C541" s="117" t="s">
        <v>493</v>
      </c>
      <c r="D541" s="3" t="str">
        <f>VLOOKUP(C541,'Location Summary'!$C$4:$D$602,2,0)</f>
        <v>DB1+6</v>
      </c>
      <c r="E541" s="270" t="s">
        <v>405</v>
      </c>
      <c r="F541" s="271" t="s">
        <v>685</v>
      </c>
      <c r="O541" s="159">
        <v>1</v>
      </c>
      <c r="R541" s="159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14">
        <v>45613</v>
      </c>
      <c r="C542" s="117" t="s">
        <v>8</v>
      </c>
      <c r="D542" s="3" t="str">
        <f>VLOOKUP(C542,'Location Summary'!$C$4:$D$602,2,0)</f>
        <v>DB2+3</v>
      </c>
      <c r="E542" s="270" t="s">
        <v>405</v>
      </c>
      <c r="F542" s="271" t="s">
        <v>685</v>
      </c>
      <c r="H542" s="160">
        <v>1</v>
      </c>
      <c r="I542" s="159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14">
        <v>45613</v>
      </c>
      <c r="C543" s="117" t="s">
        <v>193</v>
      </c>
      <c r="D543" s="3" t="str">
        <f>VLOOKUP(C543,'Location Summary'!$C$4:$D$602,2,0)</f>
        <v>DA+1.5</v>
      </c>
      <c r="E543" s="270" t="s">
        <v>405</v>
      </c>
      <c r="F543" s="271" t="s">
        <v>685</v>
      </c>
      <c r="G543" s="161">
        <v>1</v>
      </c>
      <c r="J543" s="161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14">
        <v>45613</v>
      </c>
      <c r="C544" s="117" t="s">
        <v>166</v>
      </c>
      <c r="D544" s="3" t="str">
        <f>VLOOKUP(C544,'Location Summary'!$C$4:$D$602,2,0)</f>
        <v>DB1+6</v>
      </c>
      <c r="E544" s="270" t="s">
        <v>405</v>
      </c>
      <c r="F544" s="271" t="s">
        <v>685</v>
      </c>
      <c r="G544" s="161">
        <v>1</v>
      </c>
      <c r="N544" s="160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14">
        <v>45614</v>
      </c>
      <c r="C545" s="117" t="s">
        <v>607</v>
      </c>
      <c r="D545" s="3" t="str">
        <f>VLOOKUP(C545,'Location Summary'!$C$4:$D$602,2,0)</f>
        <v>DA+3</v>
      </c>
      <c r="E545" s="270" t="s">
        <v>405</v>
      </c>
      <c r="F545" s="271" t="s">
        <v>685</v>
      </c>
      <c r="M545" s="161">
        <v>1</v>
      </c>
      <c r="P545" s="161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14">
        <v>45614</v>
      </c>
      <c r="C546" s="117" t="s">
        <v>493</v>
      </c>
      <c r="D546" s="3" t="str">
        <f>VLOOKUP(C546,'Location Summary'!$C$4:$D$602,2,0)</f>
        <v>DB1+6</v>
      </c>
      <c r="E546" s="270" t="s">
        <v>405</v>
      </c>
      <c r="F546" s="271" t="s">
        <v>685</v>
      </c>
      <c r="H546" s="160">
        <v>1</v>
      </c>
      <c r="I546" s="159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14">
        <v>45614</v>
      </c>
      <c r="C547" s="117" t="s">
        <v>8</v>
      </c>
      <c r="D547" s="3" t="str">
        <f>VLOOKUP(C547,'Location Summary'!$C$4:$D$602,2,0)</f>
        <v>DB2+3</v>
      </c>
      <c r="E547" s="270" t="s">
        <v>405</v>
      </c>
      <c r="F547" s="271" t="s">
        <v>685</v>
      </c>
      <c r="Q547" s="160">
        <v>1</v>
      </c>
      <c r="R547" s="159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14">
        <v>45614</v>
      </c>
      <c r="C548" s="117" t="s">
        <v>193</v>
      </c>
      <c r="D548" s="3" t="str">
        <f>VLOOKUP(C548,'Location Summary'!$C$4:$D$602,2,0)</f>
        <v>DA+1.5</v>
      </c>
      <c r="E548" s="270" t="s">
        <v>405</v>
      </c>
      <c r="F548" s="271" t="s">
        <v>685</v>
      </c>
      <c r="H548" s="160">
        <v>1</v>
      </c>
      <c r="K548" s="160">
        <v>1</v>
      </c>
      <c r="M548" s="161">
        <v>1</v>
      </c>
      <c r="P548" s="161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14">
        <v>45614</v>
      </c>
      <c r="C549" s="117" t="s">
        <v>166</v>
      </c>
      <c r="D549" s="3" t="str">
        <f>VLOOKUP(C549,'Location Summary'!$C$4:$D$602,2,0)</f>
        <v>DB1+6</v>
      </c>
      <c r="E549" s="270" t="s">
        <v>405</v>
      </c>
      <c r="F549" s="271" t="s">
        <v>685</v>
      </c>
      <c r="O549" s="159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14">
        <v>45614</v>
      </c>
      <c r="C550" s="117" t="s">
        <v>617</v>
      </c>
      <c r="D550" s="3" t="str">
        <f>VLOOKUP(C550,'Location Summary'!$C$4:$D$602,2,0)</f>
        <v>DA+0</v>
      </c>
      <c r="E550" s="270" t="s">
        <v>405</v>
      </c>
      <c r="F550" s="271" t="s">
        <v>685</v>
      </c>
      <c r="G550" s="161">
        <v>1</v>
      </c>
      <c r="P550" s="161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14">
        <v>45615</v>
      </c>
      <c r="C551" s="117" t="s">
        <v>616</v>
      </c>
      <c r="D551" s="3" t="str">
        <f>VLOOKUP(C551,'Location Summary'!$C$4:$D$602,2,0)</f>
        <v>DA+1.5</v>
      </c>
      <c r="E551" s="270" t="s">
        <v>405</v>
      </c>
      <c r="F551" s="271" t="s">
        <v>685</v>
      </c>
      <c r="H551" s="160">
        <v>1</v>
      </c>
      <c r="L551" s="159">
        <v>1</v>
      </c>
      <c r="N551" s="160">
        <v>1</v>
      </c>
      <c r="R551" s="159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14">
        <v>45615</v>
      </c>
      <c r="C552" s="117" t="s">
        <v>607</v>
      </c>
      <c r="D552" s="3" t="str">
        <f>VLOOKUP(C552,'Location Summary'!$C$4:$D$602,2,0)</f>
        <v>DA+3</v>
      </c>
      <c r="E552" s="270" t="s">
        <v>405</v>
      </c>
      <c r="F552" s="271" t="s">
        <v>685</v>
      </c>
      <c r="N552" s="160">
        <v>1</v>
      </c>
      <c r="O552" s="159">
        <v>1</v>
      </c>
      <c r="Q552" s="160">
        <v>1</v>
      </c>
      <c r="R552" s="159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14">
        <v>45615</v>
      </c>
      <c r="C553" s="117" t="s">
        <v>8</v>
      </c>
      <c r="D553" s="3" t="str">
        <f>VLOOKUP(C553,'Location Summary'!$C$4:$D$602,2,0)</f>
        <v>DB2+3</v>
      </c>
      <c r="E553" s="270" t="s">
        <v>405</v>
      </c>
      <c r="F553" s="271" t="s">
        <v>685</v>
      </c>
      <c r="M553" s="161">
        <v>1</v>
      </c>
      <c r="N553" s="160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14">
        <v>45615</v>
      </c>
      <c r="C554" s="117" t="s">
        <v>193</v>
      </c>
      <c r="D554" s="3" t="str">
        <f>VLOOKUP(C554,'Location Summary'!$C$4:$D$602,2,0)</f>
        <v>DA+1.5</v>
      </c>
      <c r="E554" s="270" t="s">
        <v>405</v>
      </c>
      <c r="F554" s="271" t="s">
        <v>685</v>
      </c>
      <c r="I554" s="159">
        <v>1</v>
      </c>
      <c r="L554" s="159">
        <v>1</v>
      </c>
      <c r="N554" s="160">
        <v>1</v>
      </c>
      <c r="O554" s="159">
        <v>1</v>
      </c>
      <c r="Q554" s="160">
        <v>1</v>
      </c>
      <c r="R554" s="159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14">
        <v>45615</v>
      </c>
      <c r="C555" s="117" t="s">
        <v>166</v>
      </c>
      <c r="D555" s="3" t="str">
        <f>VLOOKUP(C555,'Location Summary'!$C$4:$D$602,2,0)</f>
        <v>DB1+6</v>
      </c>
      <c r="E555" s="270" t="s">
        <v>405</v>
      </c>
      <c r="F555" s="271" t="s">
        <v>685</v>
      </c>
      <c r="H555" s="160">
        <v>1</v>
      </c>
      <c r="I555" s="159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14">
        <v>45615</v>
      </c>
      <c r="C556" s="117" t="s">
        <v>617</v>
      </c>
      <c r="D556" s="3" t="str">
        <f>VLOOKUP(C556,'Location Summary'!$C$4:$D$602,2,0)</f>
        <v>DA+0</v>
      </c>
      <c r="E556" s="270" t="s">
        <v>405</v>
      </c>
      <c r="F556" s="271" t="s">
        <v>685</v>
      </c>
      <c r="H556" s="160">
        <v>1</v>
      </c>
      <c r="J556" s="161">
        <v>1</v>
      </c>
      <c r="M556" s="161">
        <v>1</v>
      </c>
      <c r="Q556" s="160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14">
        <v>45616</v>
      </c>
      <c r="C557" s="117" t="s">
        <v>616</v>
      </c>
      <c r="D557" s="3" t="str">
        <f>VLOOKUP(C557,'Location Summary'!$C$4:$D$602,2,0)</f>
        <v>DA+1.5</v>
      </c>
      <c r="E557" s="270" t="s">
        <v>405</v>
      </c>
      <c r="F557" s="271" t="s">
        <v>685</v>
      </c>
      <c r="I557" s="159">
        <v>1</v>
      </c>
      <c r="O557" s="159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14">
        <v>45616</v>
      </c>
      <c r="C558" s="117" t="s">
        <v>607</v>
      </c>
      <c r="D558" s="3" t="str">
        <f>VLOOKUP(C558,'Location Summary'!$C$4:$D$602,2,0)</f>
        <v>DA+3</v>
      </c>
      <c r="E558" s="270" t="s">
        <v>405</v>
      </c>
      <c r="F558" s="271" t="s">
        <v>685</v>
      </c>
      <c r="G558" s="161">
        <v>1</v>
      </c>
      <c r="J558" s="161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14">
        <v>45616</v>
      </c>
      <c r="C559" s="117" t="s">
        <v>8</v>
      </c>
      <c r="D559" s="3" t="str">
        <f>VLOOKUP(C559,'Location Summary'!$C$4:$D$602,2,0)</f>
        <v>DB2+3</v>
      </c>
      <c r="E559" s="270" t="s">
        <v>405</v>
      </c>
      <c r="F559" s="271" t="s">
        <v>685</v>
      </c>
      <c r="O559" s="159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14">
        <v>45616</v>
      </c>
      <c r="C560" s="117" t="s">
        <v>166</v>
      </c>
      <c r="D560" s="3" t="str">
        <f>VLOOKUP(C560,'Location Summary'!$C$4:$D$602,2,0)</f>
        <v>DB1+6</v>
      </c>
      <c r="E560" s="270" t="s">
        <v>405</v>
      </c>
      <c r="F560" s="271" t="s">
        <v>685</v>
      </c>
      <c r="P560" s="161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14">
        <v>45616</v>
      </c>
      <c r="C561" s="117" t="s">
        <v>617</v>
      </c>
      <c r="D561" s="3" t="str">
        <f>VLOOKUP(C561,'Location Summary'!$C$4:$D$602,2,0)</f>
        <v>DA+0</v>
      </c>
      <c r="E561" s="270" t="s">
        <v>405</v>
      </c>
      <c r="F561" s="271" t="s">
        <v>685</v>
      </c>
      <c r="K561" s="160">
        <v>1</v>
      </c>
      <c r="N561" s="160">
        <v>1</v>
      </c>
      <c r="R561" s="159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14">
        <v>45617</v>
      </c>
      <c r="C562" s="117" t="s">
        <v>607</v>
      </c>
      <c r="D562" s="3" t="str">
        <f>VLOOKUP(C562,'Location Summary'!$C$4:$D$602,2,0)</f>
        <v>DA+3</v>
      </c>
      <c r="E562" s="270" t="s">
        <v>405</v>
      </c>
      <c r="F562" s="271" t="s">
        <v>685</v>
      </c>
      <c r="H562" s="160">
        <v>1</v>
      </c>
      <c r="I562" s="159">
        <v>1</v>
      </c>
      <c r="K562" s="160">
        <v>1</v>
      </c>
      <c r="L562" s="159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14">
        <v>45617</v>
      </c>
      <c r="C563" s="117" t="s">
        <v>493</v>
      </c>
      <c r="D563" s="3" t="str">
        <f>VLOOKUP(C563,'Location Summary'!$C$4:$D$602,2,0)</f>
        <v>DB1+6</v>
      </c>
      <c r="E563" s="270" t="s">
        <v>405</v>
      </c>
      <c r="F563" s="271" t="s">
        <v>685</v>
      </c>
      <c r="J563" s="161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14">
        <v>45617</v>
      </c>
      <c r="C564" s="117" t="s">
        <v>254</v>
      </c>
      <c r="D564" s="3" t="str">
        <f>VLOOKUP(C564,'Location Summary'!$C$4:$D$602,2,0)</f>
        <v>DA+6</v>
      </c>
      <c r="E564" s="270" t="s">
        <v>405</v>
      </c>
      <c r="F564" s="271" t="s">
        <v>685</v>
      </c>
      <c r="G564" s="161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14">
        <v>45617</v>
      </c>
      <c r="C565" s="117" t="s">
        <v>166</v>
      </c>
      <c r="D565" s="3" t="str">
        <f>VLOOKUP(C565,'Location Summary'!$C$4:$D$602,2,0)</f>
        <v>DB1+6</v>
      </c>
      <c r="E565" s="270" t="s">
        <v>405</v>
      </c>
      <c r="F565" s="271" t="s">
        <v>685</v>
      </c>
      <c r="Q565" s="160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14">
        <v>45617</v>
      </c>
      <c r="C566" s="117" t="s">
        <v>617</v>
      </c>
      <c r="D566" s="3" t="str">
        <f>VLOOKUP(C566,'Location Summary'!$C$4:$D$602,2,0)</f>
        <v>DA+0</v>
      </c>
      <c r="E566" s="270" t="s">
        <v>405</v>
      </c>
      <c r="F566" s="271" t="s">
        <v>685</v>
      </c>
      <c r="I566" s="159">
        <v>1</v>
      </c>
      <c r="L566" s="159">
        <v>1</v>
      </c>
      <c r="O566" s="159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14">
        <v>45617</v>
      </c>
      <c r="C567" s="117" t="s">
        <v>618</v>
      </c>
      <c r="D567" s="3" t="str">
        <f>VLOOKUP(C567,'Location Summary'!$C$4:$D$602,2,0)</f>
        <v>DA+3</v>
      </c>
      <c r="E567" s="270" t="s">
        <v>405</v>
      </c>
      <c r="F567" s="271" t="s">
        <v>685</v>
      </c>
      <c r="J567" s="161">
        <v>1</v>
      </c>
      <c r="M567" s="161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14">
        <v>45618</v>
      </c>
      <c r="C568" s="117" t="s">
        <v>618</v>
      </c>
      <c r="D568" s="3" t="str">
        <f>VLOOKUP(C568,'Location Summary'!$C$4:$D$602,2,0)</f>
        <v>DA+3</v>
      </c>
      <c r="E568" s="270" t="s">
        <v>405</v>
      </c>
      <c r="F568" s="271" t="s">
        <v>685</v>
      </c>
      <c r="G568" s="161">
        <v>1</v>
      </c>
      <c r="K568" s="160">
        <v>1</v>
      </c>
      <c r="L568" s="159">
        <v>1</v>
      </c>
      <c r="N568" s="160">
        <v>1</v>
      </c>
      <c r="O568" s="159">
        <v>1</v>
      </c>
      <c r="P568" s="161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14">
        <v>45618</v>
      </c>
      <c r="C569" s="117" t="s">
        <v>777</v>
      </c>
      <c r="D569" s="3" t="str">
        <f>VLOOKUP(C569,'Location Summary'!$C$4:$D$602,2,0)</f>
        <v>DB1+0</v>
      </c>
      <c r="E569" s="270" t="s">
        <v>405</v>
      </c>
      <c r="F569" s="271" t="s">
        <v>685</v>
      </c>
      <c r="P569" s="161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14">
        <v>45618</v>
      </c>
      <c r="C570" s="117" t="s">
        <v>493</v>
      </c>
      <c r="D570" s="3" t="str">
        <f>VLOOKUP(C570,'Location Summary'!$C$4:$D$602,2,0)</f>
        <v>DB1+6</v>
      </c>
      <c r="E570" s="270" t="s">
        <v>405</v>
      </c>
      <c r="F570" s="271" t="s">
        <v>685</v>
      </c>
      <c r="K570" s="160">
        <v>1</v>
      </c>
      <c r="L570" s="159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14">
        <v>45618</v>
      </c>
      <c r="C571" s="117" t="s">
        <v>254</v>
      </c>
      <c r="D571" s="3" t="str">
        <f>VLOOKUP(C571,'Location Summary'!$C$4:$D$602,2,0)</f>
        <v>DA+6</v>
      </c>
      <c r="E571" s="270" t="s">
        <v>405</v>
      </c>
      <c r="F571" s="271" t="s">
        <v>685</v>
      </c>
      <c r="H571" s="160">
        <v>1</v>
      </c>
      <c r="J571" s="161">
        <v>1</v>
      </c>
      <c r="M571" s="161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14">
        <v>45618</v>
      </c>
      <c r="C572" s="117" t="s">
        <v>166</v>
      </c>
      <c r="D572" s="3" t="str">
        <f>VLOOKUP(C572,'Location Summary'!$C$4:$D$602,2,0)</f>
        <v>DB1+6</v>
      </c>
      <c r="E572" s="270" t="s">
        <v>405</v>
      </c>
      <c r="F572" s="271" t="s">
        <v>685</v>
      </c>
      <c r="J572" s="161">
        <v>1</v>
      </c>
      <c r="R572" s="159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14">
        <v>45619</v>
      </c>
      <c r="C573" s="117" t="s">
        <v>166</v>
      </c>
      <c r="D573" s="3" t="str">
        <f>VLOOKUP(C573,'Location Summary'!$C$4:$D$602,2,0)</f>
        <v>DB1+6</v>
      </c>
      <c r="E573" s="270" t="s">
        <v>405</v>
      </c>
      <c r="F573" s="271" t="s">
        <v>685</v>
      </c>
      <c r="K573" s="160">
        <v>1</v>
      </c>
      <c r="L573" s="159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4">
        <v>45619</v>
      </c>
      <c r="C574" s="117" t="s">
        <v>593</v>
      </c>
      <c r="D574" s="3" t="str">
        <f>VLOOKUP(C574,'Location Summary'!$C$4:$D$602,2,0)</f>
        <v>DA+9</v>
      </c>
      <c r="E574" s="270" t="s">
        <v>405</v>
      </c>
      <c r="F574" s="271" t="s">
        <v>685</v>
      </c>
      <c r="G574" s="161">
        <v>1</v>
      </c>
      <c r="J574" s="161">
        <v>1</v>
      </c>
      <c r="P574" s="161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14">
        <v>45619</v>
      </c>
      <c r="C575" s="117" t="s">
        <v>777</v>
      </c>
      <c r="D575" s="3" t="str">
        <f>VLOOKUP(C575,'Location Summary'!$C$4:$D$602,2,0)</f>
        <v>DB1+0</v>
      </c>
      <c r="E575" s="270" t="s">
        <v>405</v>
      </c>
      <c r="F575" s="271" t="s">
        <v>685</v>
      </c>
      <c r="M575" s="161">
        <v>1</v>
      </c>
      <c r="Q575" s="160">
        <v>1</v>
      </c>
      <c r="R575" s="159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14">
        <v>45619</v>
      </c>
      <c r="C576" s="117" t="s">
        <v>618</v>
      </c>
      <c r="D576" s="3" t="str">
        <f>VLOOKUP(C576,'Location Summary'!$C$4:$D$602,2,0)</f>
        <v>DA+3</v>
      </c>
      <c r="E576" s="270" t="s">
        <v>405</v>
      </c>
      <c r="F576" s="271" t="s">
        <v>685</v>
      </c>
      <c r="H576" s="160">
        <v>1</v>
      </c>
      <c r="I576" s="159">
        <v>1</v>
      </c>
      <c r="Q576" s="160">
        <v>1</v>
      </c>
      <c r="R576" s="159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14">
        <v>45619</v>
      </c>
      <c r="C577" s="117" t="s">
        <v>254</v>
      </c>
      <c r="D577" s="3" t="str">
        <f>VLOOKUP(C577,'Location Summary'!$C$4:$D$602,2,0)</f>
        <v>DA+6</v>
      </c>
      <c r="E577" s="270" t="s">
        <v>405</v>
      </c>
      <c r="F577" s="271" t="s">
        <v>685</v>
      </c>
      <c r="I577" s="159">
        <v>1</v>
      </c>
      <c r="K577" s="160">
        <v>1</v>
      </c>
      <c r="L577" s="159">
        <v>1</v>
      </c>
      <c r="N577" s="160">
        <v>1</v>
      </c>
      <c r="O577" s="159">
        <v>1</v>
      </c>
      <c r="P577" s="161">
        <v>1</v>
      </c>
      <c r="Q577" s="160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14">
        <v>45620</v>
      </c>
      <c r="C578" s="117" t="s">
        <v>777</v>
      </c>
      <c r="D578" s="3" t="str">
        <f>VLOOKUP(C578,'Location Summary'!$C$4:$D$602,2,0)</f>
        <v>DB1+0</v>
      </c>
      <c r="E578" s="270" t="s">
        <v>405</v>
      </c>
      <c r="F578" s="271" t="s">
        <v>685</v>
      </c>
      <c r="G578" s="161">
        <v>1</v>
      </c>
      <c r="N578" s="160">
        <v>1</v>
      </c>
      <c r="O578" s="159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14">
        <v>45620</v>
      </c>
      <c r="C579" s="117" t="s">
        <v>593</v>
      </c>
      <c r="D579" s="3" t="str">
        <f>VLOOKUP(C579,'Location Summary'!$C$4:$D$602,2,0)</f>
        <v>DA+9</v>
      </c>
      <c r="E579" s="270" t="s">
        <v>405</v>
      </c>
      <c r="F579" s="271" t="s">
        <v>685</v>
      </c>
      <c r="H579" s="160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14">
        <v>45620</v>
      </c>
      <c r="C580" s="117" t="s">
        <v>254</v>
      </c>
      <c r="D580" s="3" t="str">
        <f>VLOOKUP(C580,'Location Summary'!$C$4:$D$602,2,0)</f>
        <v>DA+6</v>
      </c>
      <c r="E580" s="270" t="s">
        <v>405</v>
      </c>
      <c r="F580" s="271" t="s">
        <v>685</v>
      </c>
      <c r="R580" s="159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14">
        <v>45620</v>
      </c>
      <c r="C581" s="117" t="s">
        <v>615</v>
      </c>
      <c r="D581" s="3" t="str">
        <f>VLOOKUP(C581,'Location Summary'!$C$4:$D$602,2,0)</f>
        <v>DA+9</v>
      </c>
      <c r="E581" s="270" t="s">
        <v>405</v>
      </c>
      <c r="F581" s="271" t="s">
        <v>685</v>
      </c>
      <c r="G581" s="161">
        <v>1</v>
      </c>
      <c r="P581" s="161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14">
        <v>45621</v>
      </c>
      <c r="C582" s="117" t="s">
        <v>777</v>
      </c>
      <c r="D582" s="3" t="str">
        <f>VLOOKUP(C582,'Location Summary'!$C$4:$D$602,2,0)</f>
        <v>DB1+0</v>
      </c>
      <c r="E582" s="270" t="s">
        <v>405</v>
      </c>
      <c r="F582" s="271" t="s">
        <v>685</v>
      </c>
      <c r="H582" s="160">
        <v>1</v>
      </c>
      <c r="I582" s="159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14">
        <v>45621</v>
      </c>
      <c r="C583" s="117" t="s">
        <v>479</v>
      </c>
      <c r="D583" s="3" t="str">
        <f>VLOOKUP(C583,'Location Summary'!$C$4:$D$602,2,0)</f>
        <v>DA+6</v>
      </c>
      <c r="E583" s="270" t="s">
        <v>405</v>
      </c>
      <c r="F583" s="271" t="s">
        <v>685</v>
      </c>
      <c r="M583" s="161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4">
        <v>45621</v>
      </c>
      <c r="C584" s="117" t="s">
        <v>593</v>
      </c>
      <c r="D584" s="3" t="str">
        <f>VLOOKUP(C584,'Location Summary'!$C$4:$D$602,2,0)</f>
        <v>DA+9</v>
      </c>
      <c r="E584" s="270" t="s">
        <v>405</v>
      </c>
      <c r="F584" s="271" t="s">
        <v>685</v>
      </c>
      <c r="I584" s="159">
        <v>1</v>
      </c>
      <c r="Q584" s="160">
        <v>1</v>
      </c>
      <c r="R584" s="159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14">
        <v>45621</v>
      </c>
      <c r="C585" s="117" t="s">
        <v>253</v>
      </c>
      <c r="D585" s="3" t="str">
        <f>VLOOKUP(C585,'Location Summary'!$C$4:$D$602,2,0)</f>
        <v>DA-3</v>
      </c>
      <c r="E585" s="270" t="s">
        <v>405</v>
      </c>
      <c r="F585" s="271" t="s">
        <v>685</v>
      </c>
      <c r="G585" s="161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14">
        <v>45621</v>
      </c>
      <c r="C586" s="117" t="s">
        <v>615</v>
      </c>
      <c r="D586" s="3" t="str">
        <f>VLOOKUP(C586,'Location Summary'!$C$4:$D$602,2,0)</f>
        <v>DA+9</v>
      </c>
      <c r="E586" s="270" t="s">
        <v>405</v>
      </c>
      <c r="F586" s="271" t="s">
        <v>685</v>
      </c>
      <c r="H586" s="160">
        <v>1</v>
      </c>
      <c r="J586" s="161">
        <v>1</v>
      </c>
      <c r="M586" s="161">
        <v>1</v>
      </c>
      <c r="Q586" s="160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14">
        <v>45622</v>
      </c>
      <c r="C587" s="117" t="s">
        <v>777</v>
      </c>
      <c r="D587" s="3" t="str">
        <f>VLOOKUP(C587,'Location Summary'!$C$4:$D$602,2,0)</f>
        <v>DB1+0</v>
      </c>
      <c r="E587" s="270" t="s">
        <v>405</v>
      </c>
      <c r="F587" s="271" t="s">
        <v>685</v>
      </c>
      <c r="J587" s="161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14">
        <v>45622</v>
      </c>
      <c r="C588" s="117" t="s">
        <v>479</v>
      </c>
      <c r="D588" s="3" t="str">
        <f>VLOOKUP(C588,'Location Summary'!$C$4:$D$602,2,0)</f>
        <v>DA+6</v>
      </c>
      <c r="E588" s="270" t="s">
        <v>405</v>
      </c>
      <c r="F588" s="271" t="s">
        <v>685</v>
      </c>
      <c r="H588" s="160">
        <v>1</v>
      </c>
      <c r="I588" s="159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14">
        <v>45622</v>
      </c>
      <c r="C589" s="117" t="s">
        <v>593</v>
      </c>
      <c r="D589" s="3" t="str">
        <f>VLOOKUP(C589,'Location Summary'!$C$4:$D$602,2,0)</f>
        <v>DA+9</v>
      </c>
      <c r="E589" s="270" t="s">
        <v>405</v>
      </c>
      <c r="F589" s="271" t="s">
        <v>685</v>
      </c>
      <c r="K589" s="160">
        <v>1</v>
      </c>
      <c r="L589" s="159">
        <v>1</v>
      </c>
      <c r="M589" s="161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14">
        <v>45622</v>
      </c>
      <c r="C590" s="117" t="s">
        <v>253</v>
      </c>
      <c r="D590" s="3" t="str">
        <f>VLOOKUP(C590,'Location Summary'!$C$4:$D$602,2,0)</f>
        <v>DA-3</v>
      </c>
      <c r="E590" s="270" t="s">
        <v>405</v>
      </c>
      <c r="F590" s="271" t="s">
        <v>685</v>
      </c>
      <c r="J590" s="161">
        <v>1</v>
      </c>
      <c r="P590" s="161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14">
        <v>45622</v>
      </c>
      <c r="C591" s="117" t="s">
        <v>615</v>
      </c>
      <c r="D591" s="3" t="str">
        <f>VLOOKUP(C591,'Location Summary'!$C$4:$D$602,2,0)</f>
        <v>DA+9</v>
      </c>
      <c r="E591" s="270" t="s">
        <v>405</v>
      </c>
      <c r="F591" s="271" t="s">
        <v>685</v>
      </c>
      <c r="I591" s="159">
        <v>1</v>
      </c>
      <c r="K591" s="160">
        <v>1</v>
      </c>
      <c r="L591" s="159">
        <v>1</v>
      </c>
      <c r="N591" s="160">
        <v>1</v>
      </c>
      <c r="O591" s="159">
        <v>1</v>
      </c>
      <c r="R591" s="159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14">
        <v>45623</v>
      </c>
      <c r="C592" s="117" t="s">
        <v>777</v>
      </c>
      <c r="D592" s="3" t="str">
        <f>VLOOKUP(C592,'Location Summary'!$C$4:$D$602,2,0)</f>
        <v>DB1+0</v>
      </c>
      <c r="E592" s="270" t="s">
        <v>405</v>
      </c>
      <c r="F592" s="271" t="s">
        <v>685</v>
      </c>
      <c r="K592" s="160">
        <v>1</v>
      </c>
      <c r="L592" s="159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14">
        <v>45623</v>
      </c>
      <c r="C593" s="117" t="s">
        <v>479</v>
      </c>
      <c r="D593" s="3" t="str">
        <f>VLOOKUP(C593,'Location Summary'!$C$4:$D$602,2,0)</f>
        <v>DA+6</v>
      </c>
      <c r="E593" s="270" t="s">
        <v>405</v>
      </c>
      <c r="F593" s="271" t="s">
        <v>685</v>
      </c>
      <c r="J593" s="161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14">
        <v>45623</v>
      </c>
      <c r="C594" s="117" t="s">
        <v>593</v>
      </c>
      <c r="D594" s="3" t="str">
        <f>VLOOKUP(C594,'Location Summary'!$C$4:$D$602,2,0)</f>
        <v>DA+9</v>
      </c>
      <c r="E594" s="270" t="s">
        <v>405</v>
      </c>
      <c r="F594" s="271" t="s">
        <v>685</v>
      </c>
      <c r="N594" s="160">
        <v>1</v>
      </c>
      <c r="O594" s="159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14">
        <v>45623</v>
      </c>
      <c r="C595" s="117" t="s">
        <v>253</v>
      </c>
      <c r="D595" s="3" t="str">
        <f>VLOOKUP(C595,'Location Summary'!$C$4:$D$602,2,0)</f>
        <v>DA-3</v>
      </c>
      <c r="E595" s="270" t="s">
        <v>405</v>
      </c>
      <c r="F595" s="271" t="s">
        <v>685</v>
      </c>
      <c r="Q595" s="160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14">
        <v>45623</v>
      </c>
      <c r="C596" s="117" t="s">
        <v>614</v>
      </c>
      <c r="D596" s="3" t="str">
        <f>VLOOKUP(C596,'Location Summary'!$C$4:$D$602,2,0)</f>
        <v>DA+6</v>
      </c>
      <c r="E596" s="270" t="s">
        <v>405</v>
      </c>
      <c r="F596" s="271" t="s">
        <v>685</v>
      </c>
      <c r="G596" s="161">
        <v>1</v>
      </c>
      <c r="M596" s="161">
        <v>1</v>
      </c>
      <c r="P596" s="161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14">
        <v>45624</v>
      </c>
      <c r="C597" s="117" t="s">
        <v>72</v>
      </c>
      <c r="D597" s="3" t="str">
        <f>VLOOKUP(C597,'Location Summary'!$C$4:$D$602,2,0)</f>
        <v>DB1+3</v>
      </c>
      <c r="E597" s="270" t="s">
        <v>405</v>
      </c>
      <c r="F597" s="271" t="s">
        <v>685</v>
      </c>
      <c r="J597" s="161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14">
        <v>45624</v>
      </c>
      <c r="C598" s="117" t="s">
        <v>479</v>
      </c>
      <c r="D598" s="3" t="str">
        <f>VLOOKUP(C598,'Location Summary'!$C$4:$D$602,2,0)</f>
        <v>DA+6</v>
      </c>
      <c r="E598" s="270" t="s">
        <v>405</v>
      </c>
      <c r="F598" s="271" t="s">
        <v>685</v>
      </c>
      <c r="K598" s="160">
        <v>1</v>
      </c>
      <c r="L598" s="159">
        <v>1</v>
      </c>
      <c r="P598" s="161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14">
        <v>45624</v>
      </c>
      <c r="C599" s="117" t="s">
        <v>253</v>
      </c>
      <c r="D599" s="3" t="str">
        <f>VLOOKUP(C599,'Location Summary'!$C$4:$D$602,2,0)</f>
        <v>DA-3</v>
      </c>
      <c r="E599" s="270" t="s">
        <v>405</v>
      </c>
      <c r="F599" s="271" t="s">
        <v>685</v>
      </c>
      <c r="H599" s="160">
        <v>1</v>
      </c>
      <c r="I599" s="159">
        <v>1</v>
      </c>
      <c r="K599" s="160">
        <v>1</v>
      </c>
      <c r="L599" s="159">
        <v>1</v>
      </c>
      <c r="M599" s="161">
        <v>1</v>
      </c>
      <c r="R599" s="159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14">
        <v>45624</v>
      </c>
      <c r="C600" s="117" t="s">
        <v>614</v>
      </c>
      <c r="D600" s="3" t="str">
        <f>VLOOKUP(C600,'Location Summary'!$C$4:$D$602,2,0)</f>
        <v>DA+6</v>
      </c>
      <c r="E600" s="270" t="s">
        <v>405</v>
      </c>
      <c r="F600" s="271" t="s">
        <v>685</v>
      </c>
      <c r="H600" s="160">
        <v>1</v>
      </c>
      <c r="J600" s="161">
        <v>1</v>
      </c>
      <c r="N600" s="160">
        <v>1</v>
      </c>
      <c r="Q600" s="160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14">
        <v>45625</v>
      </c>
      <c r="C601" s="117" t="s">
        <v>253</v>
      </c>
      <c r="D601" s="3" t="str">
        <f>VLOOKUP(C601,'Location Summary'!$C$4:$D$602,2,0)</f>
        <v>DA-3</v>
      </c>
      <c r="E601" s="270" t="s">
        <v>405</v>
      </c>
      <c r="F601" s="271" t="s">
        <v>685</v>
      </c>
      <c r="N601" s="160">
        <v>1</v>
      </c>
      <c r="O601" s="159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14">
        <v>45625</v>
      </c>
      <c r="C602" s="117" t="s">
        <v>614</v>
      </c>
      <c r="D602" s="3" t="str">
        <f>VLOOKUP(C602,'Location Summary'!$C$4:$D$602,2,0)</f>
        <v>DA+6</v>
      </c>
      <c r="E602" s="270" t="s">
        <v>405</v>
      </c>
      <c r="F602" s="271" t="s">
        <v>685</v>
      </c>
      <c r="I602" s="159">
        <v>1</v>
      </c>
      <c r="K602" s="160">
        <v>1</v>
      </c>
      <c r="L602" s="159">
        <v>1</v>
      </c>
      <c r="O602" s="159">
        <v>1</v>
      </c>
      <c r="R602" s="159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14">
        <v>45625</v>
      </c>
      <c r="C603" s="117" t="s">
        <v>613</v>
      </c>
      <c r="D603" s="3" t="str">
        <f>VLOOKUP(C603,'Location Summary'!$C$4:$D$602,2,0)</f>
        <v>DA+3</v>
      </c>
      <c r="E603" s="270" t="s">
        <v>405</v>
      </c>
      <c r="F603" s="271" t="s">
        <v>685</v>
      </c>
      <c r="G603" s="161">
        <v>1</v>
      </c>
      <c r="P603" s="161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14">
        <v>45626</v>
      </c>
      <c r="C604" s="117" t="s">
        <v>72</v>
      </c>
      <c r="D604" s="3" t="str">
        <f>VLOOKUP(C604,'Location Summary'!$C$4:$D$602,2,0)</f>
        <v>DB1+3</v>
      </c>
      <c r="E604" s="270" t="s">
        <v>405</v>
      </c>
      <c r="F604" s="271" t="s">
        <v>685</v>
      </c>
      <c r="K604" s="160">
        <v>1</v>
      </c>
      <c r="L604" s="159">
        <v>1</v>
      </c>
      <c r="M604" s="161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14">
        <v>45626</v>
      </c>
      <c r="C605" s="117" t="s">
        <v>479</v>
      </c>
      <c r="D605" s="3" t="str">
        <f>VLOOKUP(C605,'Location Summary'!$C$4:$D$602,2,0)</f>
        <v>DA+6</v>
      </c>
      <c r="E605" s="270" t="s">
        <v>405</v>
      </c>
      <c r="F605" s="271" t="s">
        <v>685</v>
      </c>
      <c r="G605" s="161">
        <v>1</v>
      </c>
      <c r="Q605" s="160">
        <v>1</v>
      </c>
      <c r="R605" s="159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14">
        <v>45626</v>
      </c>
      <c r="C606" s="117" t="s">
        <v>71</v>
      </c>
      <c r="D606" s="3" t="str">
        <f>VLOOKUP(C606,'Location Summary'!$C$4:$D$602,2,0)</f>
        <v>DB2+0</v>
      </c>
      <c r="E606" s="270" t="s">
        <v>405</v>
      </c>
      <c r="F606" s="271" t="s">
        <v>685</v>
      </c>
      <c r="G606" s="161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14">
        <v>45626</v>
      </c>
      <c r="C607" s="117" t="s">
        <v>613</v>
      </c>
      <c r="D607" s="3" t="str">
        <f>VLOOKUP(C607,'Location Summary'!$C$4:$D$602,2,0)</f>
        <v>DA+3</v>
      </c>
      <c r="E607" s="270" t="s">
        <v>405</v>
      </c>
      <c r="F607" s="271" t="s">
        <v>685</v>
      </c>
      <c r="H607" s="160">
        <v>1</v>
      </c>
      <c r="I607" s="159">
        <v>1</v>
      </c>
      <c r="J607" s="161">
        <v>1</v>
      </c>
      <c r="K607" s="160">
        <v>1</v>
      </c>
      <c r="L607" s="159">
        <v>1</v>
      </c>
      <c r="M607" s="161">
        <v>1</v>
      </c>
      <c r="N607" s="160">
        <v>1</v>
      </c>
      <c r="O607" s="159">
        <v>1</v>
      </c>
      <c r="Q607" s="160">
        <v>1</v>
      </c>
      <c r="R607" s="159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4">
        <v>45627</v>
      </c>
      <c r="C608" s="117" t="s">
        <v>72</v>
      </c>
      <c r="D608" s="3" t="str">
        <f>VLOOKUP(C608,'Location Summary'!$C$4:$D$602,2,0)</f>
        <v>DB1+3</v>
      </c>
      <c r="E608" s="270" t="s">
        <v>405</v>
      </c>
      <c r="F608" s="271" t="s">
        <v>685</v>
      </c>
      <c r="N608" s="160">
        <v>1</v>
      </c>
      <c r="O608" s="159">
        <v>1</v>
      </c>
      <c r="P608" s="161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14">
        <v>45627</v>
      </c>
      <c r="C609" s="117" t="s">
        <v>479</v>
      </c>
      <c r="D609" s="3" t="str">
        <f>VLOOKUP(C609,'Location Summary'!$C$4:$D$602,2,0)</f>
        <v>DA+6</v>
      </c>
      <c r="E609" s="270" t="s">
        <v>405</v>
      </c>
      <c r="F609" s="271" t="s">
        <v>685</v>
      </c>
      <c r="N609" s="160">
        <v>1</v>
      </c>
      <c r="O609" s="159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14">
        <v>45627</v>
      </c>
      <c r="C610" s="117" t="s">
        <v>71</v>
      </c>
      <c r="D610" s="3" t="str">
        <f>VLOOKUP(C610,'Location Summary'!$C$4:$D$602,2,0)</f>
        <v>DB2+0</v>
      </c>
      <c r="E610" s="270" t="s">
        <v>405</v>
      </c>
      <c r="F610" s="271" t="s">
        <v>685</v>
      </c>
      <c r="H610" s="160">
        <v>1</v>
      </c>
      <c r="I610" s="159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14">
        <v>45627</v>
      </c>
      <c r="C611" s="117" t="s">
        <v>251</v>
      </c>
      <c r="D611" s="3" t="str">
        <f>VLOOKUP(C611,'Location Summary'!$C$4:$D$602,2,0)</f>
        <v>DA+9</v>
      </c>
      <c r="E611" s="270" t="s">
        <v>405</v>
      </c>
      <c r="F611" s="271" t="s">
        <v>685</v>
      </c>
      <c r="M611" s="161">
        <v>1</v>
      </c>
      <c r="P611" s="161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14">
        <v>45628</v>
      </c>
      <c r="C612" s="117" t="s">
        <v>72</v>
      </c>
      <c r="D612" s="3" t="str">
        <f>VLOOKUP(C612,'Location Summary'!$C$4:$D$602,2,0)</f>
        <v>DB1+3</v>
      </c>
      <c r="E612" s="270" t="s">
        <v>405</v>
      </c>
      <c r="F612" s="271" t="s">
        <v>685</v>
      </c>
      <c r="Q612" s="160">
        <v>1</v>
      </c>
      <c r="R612" s="159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14">
        <v>45628</v>
      </c>
      <c r="C613" s="117" t="s">
        <v>71</v>
      </c>
      <c r="D613" s="3" t="str">
        <f>VLOOKUP(C613,'Location Summary'!$C$4:$D$602,2,0)</f>
        <v>DB2+0</v>
      </c>
      <c r="E613" s="270" t="s">
        <v>405</v>
      </c>
      <c r="F613" s="271" t="s">
        <v>685</v>
      </c>
      <c r="M613" s="161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14">
        <v>45628</v>
      </c>
      <c r="C614" s="117" t="s">
        <v>251</v>
      </c>
      <c r="D614" s="3" t="str">
        <f>VLOOKUP(C614,'Location Summary'!$C$4:$D$602,2,0)</f>
        <v>DA+9</v>
      </c>
      <c r="E614" s="270" t="s">
        <v>405</v>
      </c>
      <c r="F614" s="271" t="s">
        <v>685</v>
      </c>
      <c r="J614" s="161">
        <v>1</v>
      </c>
      <c r="N614" s="160">
        <v>1</v>
      </c>
      <c r="O614" s="159">
        <v>1</v>
      </c>
      <c r="Q614" s="160">
        <v>1</v>
      </c>
      <c r="R614" s="159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14">
        <v>45629</v>
      </c>
      <c r="C615" s="117" t="s">
        <v>72</v>
      </c>
      <c r="D615" s="3" t="str">
        <f>VLOOKUP(C615,'Location Summary'!$C$4:$D$602,2,0)</f>
        <v>DB1+3</v>
      </c>
      <c r="E615" s="270" t="s">
        <v>405</v>
      </c>
      <c r="F615" s="271" t="s">
        <v>685</v>
      </c>
      <c r="G615" s="161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14">
        <v>45629</v>
      </c>
      <c r="C616" s="117" t="s">
        <v>71</v>
      </c>
      <c r="D616" s="3" t="str">
        <f>VLOOKUP(C616,'Location Summary'!$C$4:$D$602,2,0)</f>
        <v>DB2+0</v>
      </c>
      <c r="E616" s="270" t="s">
        <v>405</v>
      </c>
      <c r="F616" s="271" t="s">
        <v>685</v>
      </c>
      <c r="N616" s="160">
        <v>1</v>
      </c>
      <c r="P616" s="161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14">
        <v>45629</v>
      </c>
      <c r="C617" s="117" t="s">
        <v>251</v>
      </c>
      <c r="D617" s="3" t="str">
        <f>VLOOKUP(C617,'Location Summary'!$C$4:$D$602,2,0)</f>
        <v>DA+9</v>
      </c>
      <c r="E617" s="270" t="s">
        <v>405</v>
      </c>
      <c r="F617" s="271" t="s">
        <v>685</v>
      </c>
      <c r="G617" s="161">
        <v>1</v>
      </c>
      <c r="K617" s="160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14">
        <v>45629</v>
      </c>
      <c r="C618" s="117" t="s">
        <v>612</v>
      </c>
      <c r="D618" s="3" t="str">
        <f>VLOOKUP(C618,'Location Summary'!$C$4:$D$602,2,0)</f>
        <v>DA+1.5</v>
      </c>
      <c r="E618" s="270" t="s">
        <v>405</v>
      </c>
      <c r="F618" s="271" t="s">
        <v>685</v>
      </c>
      <c r="G618" s="161">
        <v>1</v>
      </c>
      <c r="H618" s="160">
        <v>1</v>
      </c>
      <c r="J618" s="161">
        <v>1</v>
      </c>
      <c r="K618" s="160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14">
        <v>45630</v>
      </c>
      <c r="C619" s="117" t="s">
        <v>72</v>
      </c>
      <c r="D619" s="3" t="str">
        <f>VLOOKUP(C619,'Location Summary'!$C$4:$D$602,2,0)</f>
        <v>DB1+3</v>
      </c>
      <c r="E619" s="270" t="s">
        <v>405</v>
      </c>
      <c r="F619" s="271" t="s">
        <v>685</v>
      </c>
      <c r="H619" s="160">
        <v>1</v>
      </c>
      <c r="I619" s="159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14">
        <v>45630</v>
      </c>
      <c r="C620" s="117" t="s">
        <v>71</v>
      </c>
      <c r="D620" s="3" t="str">
        <f>VLOOKUP(C620,'Location Summary'!$C$4:$D$602,2,0)</f>
        <v>DB2+0</v>
      </c>
      <c r="E620" s="270" t="s">
        <v>405</v>
      </c>
      <c r="F620" s="271" t="s">
        <v>685</v>
      </c>
      <c r="O620" s="159">
        <v>1</v>
      </c>
      <c r="Q620" s="160">
        <v>1</v>
      </c>
      <c r="R620" s="159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14">
        <v>45630</v>
      </c>
      <c r="C621" s="117" t="s">
        <v>251</v>
      </c>
      <c r="D621" s="3" t="str">
        <f>VLOOKUP(C621,'Location Summary'!$C$4:$D$602,2,0)</f>
        <v>DA+9</v>
      </c>
      <c r="E621" s="270" t="s">
        <v>405</v>
      </c>
      <c r="F621" s="271" t="s">
        <v>685</v>
      </c>
      <c r="H621" s="160">
        <v>1</v>
      </c>
      <c r="I621" s="159">
        <v>1</v>
      </c>
      <c r="L621" s="159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14">
        <v>45630</v>
      </c>
      <c r="C622" s="117" t="s">
        <v>612</v>
      </c>
      <c r="D622" s="3" t="str">
        <f>VLOOKUP(C622,'Location Summary'!$C$4:$D$602,2,0)</f>
        <v>DA+1.5</v>
      </c>
      <c r="E622" s="270" t="s">
        <v>405</v>
      </c>
      <c r="F622" s="271" t="s">
        <v>685</v>
      </c>
      <c r="I622" s="159">
        <v>1</v>
      </c>
      <c r="L622" s="159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14">
        <v>45630</v>
      </c>
      <c r="C623" s="117" t="s">
        <v>611</v>
      </c>
      <c r="D623" s="3" t="str">
        <f>VLOOKUP(C623,'Location Summary'!$C$4:$D$602,2,0)</f>
        <v>DA+3</v>
      </c>
      <c r="E623" s="270" t="s">
        <v>405</v>
      </c>
      <c r="F623" s="271" t="s">
        <v>685</v>
      </c>
      <c r="J623" s="161">
        <v>1</v>
      </c>
      <c r="P623" s="161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14">
        <v>45631</v>
      </c>
      <c r="C624" s="117" t="s">
        <v>783</v>
      </c>
      <c r="D624" s="3" t="str">
        <f>VLOOKUP(C624,'Location Summary'!$C$4:$D$602,2,0)</f>
        <v>DA+3</v>
      </c>
      <c r="E624" s="270" t="s">
        <v>405</v>
      </c>
      <c r="F624" s="271" t="s">
        <v>685</v>
      </c>
      <c r="G624" s="161">
        <v>1</v>
      </c>
      <c r="J624" s="161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14">
        <v>45631</v>
      </c>
      <c r="C625" s="117" t="s">
        <v>71</v>
      </c>
      <c r="D625" s="3" t="str">
        <f>VLOOKUP(C625,'Location Summary'!$C$4:$D$602,2,0)</f>
        <v>DB2+0</v>
      </c>
      <c r="E625" s="270" t="s">
        <v>405</v>
      </c>
      <c r="F625" s="271" t="s">
        <v>685</v>
      </c>
      <c r="J625" s="161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14">
        <v>45631</v>
      </c>
      <c r="C626" s="117" t="s">
        <v>611</v>
      </c>
      <c r="D626" s="3" t="str">
        <f>VLOOKUP(C626,'Location Summary'!$C$4:$D$602,2,0)</f>
        <v>DA+3</v>
      </c>
      <c r="E626" s="270" t="s">
        <v>405</v>
      </c>
      <c r="F626" s="271" t="s">
        <v>685</v>
      </c>
      <c r="G626" s="161">
        <v>1</v>
      </c>
      <c r="K626" s="160">
        <v>1</v>
      </c>
      <c r="M626" s="161">
        <v>1</v>
      </c>
      <c r="Q626" s="160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14">
        <v>45632</v>
      </c>
      <c r="C627" s="117" t="s">
        <v>783</v>
      </c>
      <c r="D627" s="3" t="str">
        <f>VLOOKUP(C627,'Location Summary'!$C$4:$D$602,2,0)</f>
        <v>DA+3</v>
      </c>
      <c r="E627" s="270" t="s">
        <v>405</v>
      </c>
      <c r="F627" s="271" t="s">
        <v>685</v>
      </c>
      <c r="H627" s="160">
        <v>1</v>
      </c>
      <c r="I627" s="159">
        <v>1</v>
      </c>
      <c r="K627" s="160">
        <v>1</v>
      </c>
      <c r="L627" s="159">
        <v>1</v>
      </c>
      <c r="M627" s="161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14">
        <v>45632</v>
      </c>
      <c r="C628" s="117" t="s">
        <v>71</v>
      </c>
      <c r="D628" s="3" t="str">
        <f>VLOOKUP(C628,'Location Summary'!$C$4:$D$602,2,0)</f>
        <v>DB2+0</v>
      </c>
      <c r="E628" s="270" t="s">
        <v>405</v>
      </c>
      <c r="F628" s="271" t="s">
        <v>685</v>
      </c>
      <c r="K628" s="160">
        <v>1</v>
      </c>
      <c r="L628" s="159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14">
        <v>45632</v>
      </c>
      <c r="C629" s="117" t="s">
        <v>252</v>
      </c>
      <c r="D629" s="3" t="str">
        <f>VLOOKUP(C629,'Location Summary'!$C$4:$D$602,2,0)</f>
        <v>DA+0</v>
      </c>
      <c r="E629" s="270" t="s">
        <v>405</v>
      </c>
      <c r="F629" s="271" t="s">
        <v>685</v>
      </c>
      <c r="G629" s="161">
        <v>1</v>
      </c>
      <c r="J629" s="161">
        <v>1</v>
      </c>
      <c r="M629" s="161">
        <v>1</v>
      </c>
      <c r="P629" s="161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14">
        <v>45632</v>
      </c>
      <c r="C630" s="117" t="s">
        <v>611</v>
      </c>
      <c r="D630" s="3" t="str">
        <f>VLOOKUP(C630,'Location Summary'!$C$4:$D$602,2,0)</f>
        <v>DA+3</v>
      </c>
      <c r="E630" s="270" t="s">
        <v>405</v>
      </c>
      <c r="F630" s="271" t="s">
        <v>685</v>
      </c>
      <c r="H630" s="160">
        <v>1</v>
      </c>
      <c r="I630" s="159">
        <v>1</v>
      </c>
      <c r="L630" s="159">
        <v>1</v>
      </c>
      <c r="N630" s="160">
        <v>1</v>
      </c>
      <c r="O630" s="159">
        <v>1</v>
      </c>
      <c r="R630" s="159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14">
        <v>45633</v>
      </c>
      <c r="C631" s="117" t="s">
        <v>783</v>
      </c>
      <c r="D631" s="3" t="str">
        <f>VLOOKUP(C631,'Location Summary'!$C$4:$D$602,2,0)</f>
        <v>DA+3</v>
      </c>
      <c r="E631" s="270" t="s">
        <v>405</v>
      </c>
      <c r="F631" s="271" t="s">
        <v>685</v>
      </c>
      <c r="P631" s="161">
        <v>1</v>
      </c>
      <c r="Q631" s="160">
        <v>1</v>
      </c>
      <c r="R631" s="159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14">
        <v>45633</v>
      </c>
      <c r="C632" s="117" t="s">
        <v>438</v>
      </c>
      <c r="D632" s="3" t="str">
        <f>VLOOKUP(C632,'Location Summary'!$C$4:$D$602,2,0)</f>
        <v>DA+3</v>
      </c>
      <c r="E632" s="270" t="s">
        <v>405</v>
      </c>
      <c r="F632" s="271" t="s">
        <v>685</v>
      </c>
      <c r="J632" s="161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14">
        <v>45633</v>
      </c>
      <c r="C633" s="117" t="s">
        <v>252</v>
      </c>
      <c r="D633" s="3" t="str">
        <f>VLOOKUP(C633,'Location Summary'!$C$4:$D$602,2,0)</f>
        <v>DA+0</v>
      </c>
      <c r="E633" s="270" t="s">
        <v>405</v>
      </c>
      <c r="F633" s="271" t="s">
        <v>685</v>
      </c>
      <c r="H633" s="160">
        <v>1</v>
      </c>
      <c r="I633" s="159">
        <v>1</v>
      </c>
      <c r="K633" s="160">
        <v>1</v>
      </c>
      <c r="L633" s="159">
        <v>1</v>
      </c>
      <c r="N633" s="160">
        <v>1</v>
      </c>
      <c r="O633" s="159">
        <v>1</v>
      </c>
      <c r="Q633" s="160">
        <v>1</v>
      </c>
      <c r="R633" s="159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14">
        <v>45633</v>
      </c>
      <c r="C634" s="117" t="s">
        <v>612</v>
      </c>
      <c r="D634" s="3" t="str">
        <f>VLOOKUP(C634,'Location Summary'!$C$4:$D$602,2,0)</f>
        <v>DA+1.5</v>
      </c>
      <c r="E634" s="270" t="s">
        <v>405</v>
      </c>
      <c r="F634" s="271" t="s">
        <v>685</v>
      </c>
      <c r="M634" s="161">
        <v>1</v>
      </c>
      <c r="P634" s="161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14">
        <v>45634</v>
      </c>
      <c r="C635" s="117" t="s">
        <v>783</v>
      </c>
      <c r="D635" s="3" t="str">
        <f>VLOOKUP(C635,'Location Summary'!$C$4:$D$602,2,0)</f>
        <v>DA+3</v>
      </c>
      <c r="E635" s="270" t="s">
        <v>405</v>
      </c>
      <c r="F635" s="271" t="s">
        <v>685</v>
      </c>
      <c r="N635" s="160">
        <v>1</v>
      </c>
      <c r="O635" s="159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14">
        <v>45634</v>
      </c>
      <c r="C636" s="117" t="s">
        <v>482</v>
      </c>
      <c r="D636" s="3" t="str">
        <f>VLOOKUP(C636,'Location Summary'!$C$4:$D$602,2,0)</f>
        <v>DA+6</v>
      </c>
      <c r="E636" s="270" t="s">
        <v>405</v>
      </c>
      <c r="F636" s="271" t="s">
        <v>685</v>
      </c>
      <c r="M636" s="161">
        <v>1</v>
      </c>
      <c r="P636" s="161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14">
        <v>45634</v>
      </c>
      <c r="C637" s="117" t="s">
        <v>438</v>
      </c>
      <c r="D637" s="3" t="str">
        <f>VLOOKUP(C637,'Location Summary'!$C$4:$D$602,2,0)</f>
        <v>DA+3</v>
      </c>
      <c r="E637" s="270" t="s">
        <v>405</v>
      </c>
      <c r="F637" s="271" t="s">
        <v>685</v>
      </c>
      <c r="G637" s="161">
        <v>1</v>
      </c>
      <c r="K637" s="160">
        <v>1</v>
      </c>
      <c r="L637" s="159">
        <v>1</v>
      </c>
      <c r="P637" s="161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14">
        <v>45634</v>
      </c>
      <c r="C638" s="117" t="s">
        <v>612</v>
      </c>
      <c r="D638" s="3" t="str">
        <f>VLOOKUP(C638,'Location Summary'!$C$4:$D$602,2,0)</f>
        <v>DA+1.5</v>
      </c>
      <c r="E638" s="270" t="s">
        <v>405</v>
      </c>
      <c r="F638" s="271" t="s">
        <v>685</v>
      </c>
      <c r="N638" s="160">
        <v>1</v>
      </c>
      <c r="O638" s="159">
        <v>1</v>
      </c>
      <c r="Q638" s="160">
        <v>1</v>
      </c>
      <c r="R638" s="159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14">
        <v>45634</v>
      </c>
      <c r="C639" s="117" t="s">
        <v>610</v>
      </c>
      <c r="D639" s="3" t="str">
        <f>VLOOKUP(C639,'Location Summary'!$C$4:$D$602,2,0)</f>
        <v>DA+0</v>
      </c>
      <c r="E639" s="270" t="s">
        <v>405</v>
      </c>
      <c r="F639" s="271" t="s">
        <v>685</v>
      </c>
      <c r="G639" s="161">
        <v>1</v>
      </c>
      <c r="M639" s="161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14">
        <v>45635</v>
      </c>
      <c r="C640" s="117" t="s">
        <v>482</v>
      </c>
      <c r="D640" s="3" t="str">
        <f>VLOOKUP(C640,'Location Summary'!$C$4:$D$602,2,0)</f>
        <v>DA+6</v>
      </c>
      <c r="E640" s="270" t="s">
        <v>405</v>
      </c>
      <c r="F640" s="271" t="s">
        <v>685</v>
      </c>
      <c r="N640" s="160">
        <v>1</v>
      </c>
      <c r="Q640" s="160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14">
        <v>45635</v>
      </c>
      <c r="C641" s="117" t="s">
        <v>438</v>
      </c>
      <c r="D641" s="3" t="str">
        <f>VLOOKUP(C641,'Location Summary'!$C$4:$D$602,2,0)</f>
        <v>DA+3</v>
      </c>
      <c r="E641" s="270" t="s">
        <v>405</v>
      </c>
      <c r="F641" s="271" t="s">
        <v>685</v>
      </c>
      <c r="H641" s="160">
        <v>1</v>
      </c>
      <c r="I641" s="159">
        <v>1</v>
      </c>
      <c r="M641" s="161">
        <v>1</v>
      </c>
      <c r="Q641" s="160">
        <v>1</v>
      </c>
      <c r="R641" s="159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14">
        <v>45635</v>
      </c>
      <c r="C642" s="117" t="s">
        <v>610</v>
      </c>
      <c r="D642" s="3" t="str">
        <f>VLOOKUP(C642,'Location Summary'!$C$4:$D$602,2,0)</f>
        <v>DA+0</v>
      </c>
      <c r="E642" s="270" t="s">
        <v>405</v>
      </c>
      <c r="F642" s="271" t="s">
        <v>685</v>
      </c>
      <c r="H642" s="160">
        <v>1</v>
      </c>
      <c r="J642" s="161">
        <v>1</v>
      </c>
      <c r="P642" s="161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14">
        <v>45635</v>
      </c>
      <c r="C643" s="117" t="s">
        <v>620</v>
      </c>
      <c r="D643" s="3" t="str">
        <f>VLOOKUP(C643,'Location Summary'!$C$4:$D$602,2,0)</f>
        <v>DA-1.5</v>
      </c>
      <c r="E643" s="270" t="s">
        <v>405</v>
      </c>
      <c r="F643" s="271" t="s">
        <v>685</v>
      </c>
      <c r="P643" s="161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14">
        <v>45636</v>
      </c>
      <c r="C644" s="117" t="s">
        <v>207</v>
      </c>
      <c r="D644" s="3" t="str">
        <f>VLOOKUP(C644,'Location Summary'!$C$4:$D$602,2,0)</f>
        <v>DA+6</v>
      </c>
      <c r="E644" s="270" t="s">
        <v>405</v>
      </c>
      <c r="F644" s="271" t="s">
        <v>685</v>
      </c>
      <c r="G644" s="161">
        <v>1</v>
      </c>
      <c r="J644" s="161">
        <v>1</v>
      </c>
      <c r="M644" s="161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14">
        <v>45636</v>
      </c>
      <c r="C645" s="117" t="s">
        <v>482</v>
      </c>
      <c r="D645" s="3" t="str">
        <f>VLOOKUP(C645,'Location Summary'!$C$4:$D$602,2,0)</f>
        <v>DA+6</v>
      </c>
      <c r="E645" s="270" t="s">
        <v>405</v>
      </c>
      <c r="F645" s="271" t="s">
        <v>685</v>
      </c>
      <c r="O645" s="159">
        <v>1</v>
      </c>
      <c r="R645" s="159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14">
        <v>45636</v>
      </c>
      <c r="C646" s="117" t="s">
        <v>438</v>
      </c>
      <c r="D646" s="3" t="str">
        <f>VLOOKUP(C646,'Location Summary'!$C$4:$D$602,2,0)</f>
        <v>DA+3</v>
      </c>
      <c r="E646" s="270" t="s">
        <v>405</v>
      </c>
      <c r="F646" s="271" t="s">
        <v>685</v>
      </c>
      <c r="N646" s="160">
        <v>1</v>
      </c>
      <c r="O646" s="159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14">
        <v>45636</v>
      </c>
      <c r="C647" s="117" t="s">
        <v>609</v>
      </c>
      <c r="D647" s="3" t="str">
        <f>VLOOKUP(C647,'Location Summary'!$C$4:$D$602,2,0)</f>
        <v>DA+0</v>
      </c>
      <c r="E647" s="270" t="s">
        <v>405</v>
      </c>
      <c r="F647" s="271" t="s">
        <v>685</v>
      </c>
      <c r="J647" s="161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14">
        <v>45636</v>
      </c>
      <c r="C648" s="117" t="s">
        <v>610</v>
      </c>
      <c r="D648" s="3" t="str">
        <f>VLOOKUP(C648,'Location Summary'!$C$4:$D$602,2,0)</f>
        <v>DA+0</v>
      </c>
      <c r="E648" s="270" t="s">
        <v>405</v>
      </c>
      <c r="F648" s="271" t="s">
        <v>685</v>
      </c>
      <c r="I648" s="159">
        <v>1</v>
      </c>
      <c r="N648" s="160">
        <v>1</v>
      </c>
      <c r="O648" s="159">
        <v>1</v>
      </c>
      <c r="Q648" s="160">
        <v>1</v>
      </c>
      <c r="R648" s="159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14">
        <v>45636</v>
      </c>
      <c r="C649" s="117" t="s">
        <v>620</v>
      </c>
      <c r="D649" s="3" t="str">
        <f>VLOOKUP(C649,'Location Summary'!$C$4:$D$602,2,0)</f>
        <v>DA-1.5</v>
      </c>
      <c r="E649" s="270" t="s">
        <v>405</v>
      </c>
      <c r="F649" s="271" t="s">
        <v>685</v>
      </c>
      <c r="M649" s="161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14">
        <v>45637</v>
      </c>
      <c r="C650" s="117" t="s">
        <v>207</v>
      </c>
      <c r="D650" s="3" t="str">
        <f>VLOOKUP(C650,'Location Summary'!$C$4:$D$602,2,0)</f>
        <v>DA+6</v>
      </c>
      <c r="E650" s="270" t="s">
        <v>405</v>
      </c>
      <c r="F650" s="271" t="s">
        <v>685</v>
      </c>
      <c r="H650" s="160">
        <v>1</v>
      </c>
      <c r="I650" s="159">
        <v>1</v>
      </c>
      <c r="K650" s="160">
        <v>1</v>
      </c>
      <c r="L650" s="159">
        <v>1</v>
      </c>
      <c r="P650" s="161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14">
        <v>45637</v>
      </c>
      <c r="C651" s="117" t="s">
        <v>65</v>
      </c>
      <c r="D651" s="3" t="str">
        <f>VLOOKUP(C651,'Location Summary'!$C$4:$D$602,2,0)</f>
        <v>DB1+0</v>
      </c>
      <c r="E651" s="270" t="s">
        <v>405</v>
      </c>
      <c r="F651" s="271" t="s">
        <v>685</v>
      </c>
      <c r="M651" s="161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14">
        <v>45637</v>
      </c>
      <c r="C652" s="117" t="s">
        <v>609</v>
      </c>
      <c r="D652" s="3" t="str">
        <f>VLOOKUP(C652,'Location Summary'!$C$4:$D$602,2,0)</f>
        <v>DA+0</v>
      </c>
      <c r="E652" s="270" t="s">
        <v>405</v>
      </c>
      <c r="F652" s="271" t="s">
        <v>685</v>
      </c>
      <c r="G652" s="161">
        <v>1</v>
      </c>
      <c r="M652" s="161">
        <v>1</v>
      </c>
      <c r="P652" s="161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14">
        <v>45637</v>
      </c>
      <c r="C653" s="117" t="s">
        <v>610</v>
      </c>
      <c r="D653" s="3" t="str">
        <f>VLOOKUP(C653,'Location Summary'!$C$4:$D$602,2,0)</f>
        <v>DA+0</v>
      </c>
      <c r="E653" s="270" t="s">
        <v>405</v>
      </c>
      <c r="F653" s="271" t="s">
        <v>685</v>
      </c>
      <c r="K653" s="160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14">
        <v>45637</v>
      </c>
      <c r="C654" s="117" t="s">
        <v>620</v>
      </c>
      <c r="D654" s="3" t="str">
        <f>VLOOKUP(C654,'Location Summary'!$C$4:$D$602,2,0)</f>
        <v>DA-1.5</v>
      </c>
      <c r="E654" s="270" t="s">
        <v>405</v>
      </c>
      <c r="F654" s="271" t="s">
        <v>685</v>
      </c>
      <c r="N654" s="160">
        <v>1</v>
      </c>
      <c r="Q654" s="160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14">
        <v>45638</v>
      </c>
      <c r="C655" s="117" t="s">
        <v>207</v>
      </c>
      <c r="D655" s="3" t="str">
        <f>VLOOKUP(C655,'Location Summary'!$C$4:$D$602,2,0)</f>
        <v>DA+6</v>
      </c>
      <c r="E655" s="270" t="s">
        <v>405</v>
      </c>
      <c r="F655" s="271" t="s">
        <v>685</v>
      </c>
      <c r="N655" s="160">
        <v>1</v>
      </c>
      <c r="O655" s="159">
        <v>1</v>
      </c>
      <c r="Q655" s="160">
        <v>1</v>
      </c>
      <c r="R655" s="159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14">
        <v>45638</v>
      </c>
      <c r="C656" s="117" t="s">
        <v>65</v>
      </c>
      <c r="D656" s="3" t="str">
        <f>VLOOKUP(C656,'Location Summary'!$C$4:$D$602,2,0)</f>
        <v>DB1+0</v>
      </c>
      <c r="E656" s="270" t="s">
        <v>405</v>
      </c>
      <c r="F656" s="271" t="s">
        <v>685</v>
      </c>
      <c r="N656" s="160">
        <v>1</v>
      </c>
      <c r="O656" s="159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14">
        <v>45638</v>
      </c>
      <c r="C657" s="117" t="s">
        <v>609</v>
      </c>
      <c r="D657" s="3" t="str">
        <f>VLOOKUP(C657,'Location Summary'!$C$4:$D$602,2,0)</f>
        <v>DA+0</v>
      </c>
      <c r="E657" s="270" t="s">
        <v>405</v>
      </c>
      <c r="F657" s="271" t="s">
        <v>685</v>
      </c>
      <c r="K657" s="160">
        <v>1</v>
      </c>
      <c r="L657" s="159">
        <v>1</v>
      </c>
      <c r="N657" s="160">
        <v>1</v>
      </c>
      <c r="O657" s="159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14">
        <v>45638</v>
      </c>
      <c r="C658" s="117" t="s">
        <v>610</v>
      </c>
      <c r="D658" s="3" t="str">
        <f>VLOOKUP(C658,'Location Summary'!$C$4:$D$602,2,0)</f>
        <v>DA+0</v>
      </c>
      <c r="E658" s="270" t="s">
        <v>405</v>
      </c>
      <c r="F658" s="271" t="s">
        <v>685</v>
      </c>
      <c r="L658" s="159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14">
        <v>45638</v>
      </c>
      <c r="C659" s="117" t="s">
        <v>620</v>
      </c>
      <c r="D659" s="3" t="str">
        <f>VLOOKUP(C659,'Location Summary'!$C$4:$D$602,2,0)</f>
        <v>DA-1.5</v>
      </c>
      <c r="E659" s="270" t="s">
        <v>405</v>
      </c>
      <c r="F659" s="271" t="s">
        <v>685</v>
      </c>
      <c r="O659" s="159">
        <v>1</v>
      </c>
      <c r="R659" s="159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14">
        <v>45638</v>
      </c>
      <c r="C660" s="117" t="s">
        <v>5</v>
      </c>
      <c r="D660" s="3" t="str">
        <f>VLOOKUP(C660,'Location Summary'!$C$4:$D$602,2,0)</f>
        <v>DA+3</v>
      </c>
      <c r="E660" s="270" t="s">
        <v>405</v>
      </c>
      <c r="F660" s="271" t="s">
        <v>685</v>
      </c>
      <c r="J660" s="161">
        <v>1</v>
      </c>
      <c r="M660" s="161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14">
        <v>45639</v>
      </c>
      <c r="C661" s="117" t="s">
        <v>5</v>
      </c>
      <c r="D661" s="3" t="str">
        <f>VLOOKUP(C661,'Location Summary'!$C$4:$D$602,2,0)</f>
        <v>DA+3</v>
      </c>
      <c r="E661" s="270" t="s">
        <v>405</v>
      </c>
      <c r="F661" s="271" t="s">
        <v>685</v>
      </c>
      <c r="G661" s="161">
        <v>1</v>
      </c>
      <c r="K661" s="160">
        <v>1</v>
      </c>
      <c r="L661" s="159">
        <v>1</v>
      </c>
      <c r="N661" s="160">
        <v>1</v>
      </c>
      <c r="O661" s="159">
        <v>1</v>
      </c>
      <c r="P661" s="161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14">
        <v>45639</v>
      </c>
      <c r="C662" s="117" t="s">
        <v>482</v>
      </c>
      <c r="D662" s="3" t="str">
        <f>VLOOKUP(C662,'Location Summary'!$C$4:$D$602,2,0)</f>
        <v>DA+6</v>
      </c>
      <c r="E662" s="270" t="s">
        <v>405</v>
      </c>
      <c r="F662" s="271" t="s">
        <v>685</v>
      </c>
      <c r="G662" s="161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14">
        <v>45639</v>
      </c>
      <c r="C663" s="117" t="s">
        <v>65</v>
      </c>
      <c r="D663" s="3" t="str">
        <f>VLOOKUP(C663,'Location Summary'!$C$4:$D$602,2,0)</f>
        <v>DB1+0</v>
      </c>
      <c r="E663" s="270" t="s">
        <v>405</v>
      </c>
      <c r="F663" s="271" t="s">
        <v>685</v>
      </c>
      <c r="P663" s="161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14">
        <v>45639</v>
      </c>
      <c r="C664" s="117" t="s">
        <v>13</v>
      </c>
      <c r="D664" s="3" t="str">
        <f>VLOOKUP(C664,'Location Summary'!$C$4:$D$602,2,0)</f>
        <v>DC1+3</v>
      </c>
      <c r="E664" s="270" t="s">
        <v>405</v>
      </c>
      <c r="F664" s="271" t="s">
        <v>685</v>
      </c>
      <c r="J664" s="161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14">
        <v>45639</v>
      </c>
      <c r="C665" s="117" t="s">
        <v>609</v>
      </c>
      <c r="D665" s="3" t="str">
        <f>VLOOKUP(C665,'Location Summary'!$C$4:$D$602,2,0)</f>
        <v>DA+0</v>
      </c>
      <c r="E665" s="270" t="s">
        <v>405</v>
      </c>
      <c r="F665" s="271" t="s">
        <v>685</v>
      </c>
      <c r="H665" s="160">
        <v>1</v>
      </c>
      <c r="I665" s="159">
        <v>1</v>
      </c>
      <c r="Q665" s="160">
        <v>1</v>
      </c>
      <c r="R665" s="159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14">
        <v>45639</v>
      </c>
      <c r="C666" s="117" t="s">
        <v>620</v>
      </c>
      <c r="D666" s="3" t="str">
        <f>VLOOKUP(C666,'Location Summary'!$C$4:$D$602,2,0)</f>
        <v>DA-1.5</v>
      </c>
      <c r="E666" s="270" t="s">
        <v>405</v>
      </c>
      <c r="F666" s="271" t="s">
        <v>685</v>
      </c>
      <c r="G666" s="161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14">
        <v>45640</v>
      </c>
      <c r="C667" s="117" t="s">
        <v>5</v>
      </c>
      <c r="D667" s="3" t="str">
        <f>VLOOKUP(C667,'Location Summary'!$C$4:$D$602,2,0)</f>
        <v>DA+3</v>
      </c>
      <c r="E667" s="270" t="s">
        <v>405</v>
      </c>
      <c r="F667" s="271" t="s">
        <v>685</v>
      </c>
      <c r="H667" s="160">
        <v>1</v>
      </c>
      <c r="I667" s="159">
        <v>1</v>
      </c>
      <c r="Q667" s="160">
        <v>1</v>
      </c>
      <c r="R667" s="159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14">
        <v>45640</v>
      </c>
      <c r="C668" s="117" t="s">
        <v>482</v>
      </c>
      <c r="D668" s="3" t="str">
        <f>VLOOKUP(C668,'Location Summary'!$C$4:$D$602,2,0)</f>
        <v>DA+6</v>
      </c>
      <c r="E668" s="270" t="s">
        <v>405</v>
      </c>
      <c r="F668" s="271" t="s">
        <v>685</v>
      </c>
      <c r="H668" s="160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14">
        <v>45640</v>
      </c>
      <c r="C669" s="117" t="s">
        <v>65</v>
      </c>
      <c r="D669" s="3" t="str">
        <f>VLOOKUP(C669,'Location Summary'!$C$4:$D$602,2,0)</f>
        <v>DB1+0</v>
      </c>
      <c r="E669" s="270" t="s">
        <v>405</v>
      </c>
      <c r="F669" s="271" t="s">
        <v>685</v>
      </c>
      <c r="G669" s="161">
        <v>1</v>
      </c>
      <c r="Q669" s="160">
        <v>1</v>
      </c>
      <c r="R669" s="159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14">
        <v>45640</v>
      </c>
      <c r="C670" s="117" t="s">
        <v>13</v>
      </c>
      <c r="D670" s="3" t="str">
        <f>VLOOKUP(C670,'Location Summary'!$C$4:$D$602,2,0)</f>
        <v>DC1+3</v>
      </c>
      <c r="E670" s="270" t="s">
        <v>405</v>
      </c>
      <c r="F670" s="271" t="s">
        <v>685</v>
      </c>
      <c r="K670" s="160">
        <v>1</v>
      </c>
      <c r="P670" s="161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14">
        <v>45640</v>
      </c>
      <c r="C671" s="117" t="s">
        <v>620</v>
      </c>
      <c r="D671" s="3" t="str">
        <f>VLOOKUP(C671,'Location Summary'!$C$4:$D$602,2,0)</f>
        <v>DA-1.5</v>
      </c>
      <c r="E671" s="270" t="s">
        <v>405</v>
      </c>
      <c r="F671" s="271" t="s">
        <v>685</v>
      </c>
      <c r="J671" s="161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14">
        <v>45641</v>
      </c>
      <c r="C672" s="117" t="s">
        <v>634</v>
      </c>
      <c r="D672" s="3" t="str">
        <f>VLOOKUP(C672,'Location Summary'!$C$4:$D$602,2,0)</f>
        <v>DA+3</v>
      </c>
      <c r="E672" s="270" t="s">
        <v>405</v>
      </c>
      <c r="F672" s="271" t="s">
        <v>685</v>
      </c>
      <c r="G672" s="161">
        <v>1</v>
      </c>
      <c r="P672" s="161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14">
        <v>45641</v>
      </c>
      <c r="C673" s="117" t="s">
        <v>65</v>
      </c>
      <c r="D673" s="3" t="str">
        <f>VLOOKUP(C673,'Location Summary'!$C$4:$D$602,2,0)</f>
        <v>DB1+0</v>
      </c>
      <c r="E673" s="270" t="s">
        <v>405</v>
      </c>
      <c r="F673" s="271" t="s">
        <v>685</v>
      </c>
      <c r="H673" s="160">
        <v>1</v>
      </c>
      <c r="I673" s="159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14">
        <v>45641</v>
      </c>
      <c r="C674" s="117" t="s">
        <v>13</v>
      </c>
      <c r="D674" s="3" t="str">
        <f>VLOOKUP(C674,'Location Summary'!$C$4:$D$602,2,0)</f>
        <v>DC1+3</v>
      </c>
      <c r="E674" s="270" t="s">
        <v>405</v>
      </c>
      <c r="F674" s="271" t="s">
        <v>685</v>
      </c>
      <c r="L674" s="159">
        <v>1</v>
      </c>
      <c r="Q674" s="160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14">
        <v>45641</v>
      </c>
      <c r="C675" s="117" t="s">
        <v>73</v>
      </c>
      <c r="D675" s="3" t="str">
        <f>VLOOKUP(C675,'Location Summary'!$C$4:$D$602,2,0)</f>
        <v>DB2+0</v>
      </c>
      <c r="E675" s="270" t="s">
        <v>405</v>
      </c>
      <c r="F675" s="271" t="s">
        <v>685</v>
      </c>
      <c r="G675" s="161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14">
        <v>45641</v>
      </c>
      <c r="C676" s="117" t="s">
        <v>620</v>
      </c>
      <c r="D676" s="3" t="str">
        <f>VLOOKUP(C676,'Location Summary'!$C$4:$D$602,2,0)</f>
        <v>DA-1.5</v>
      </c>
      <c r="E676" s="270" t="s">
        <v>405</v>
      </c>
      <c r="F676" s="271" t="s">
        <v>685</v>
      </c>
      <c r="H676" s="160">
        <v>1</v>
      </c>
      <c r="I676" s="159">
        <v>1</v>
      </c>
      <c r="K676" s="160">
        <v>1</v>
      </c>
      <c r="L676" s="159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14">
        <v>45642</v>
      </c>
      <c r="C677" s="117" t="s">
        <v>634</v>
      </c>
      <c r="D677" s="3" t="str">
        <f>VLOOKUP(C677,'Location Summary'!$C$4:$D$602,2,0)</f>
        <v>DA+3</v>
      </c>
      <c r="E677" s="270" t="s">
        <v>405</v>
      </c>
      <c r="F677" s="271" t="s">
        <v>685</v>
      </c>
      <c r="H677" s="160">
        <v>1</v>
      </c>
      <c r="I677" s="159">
        <v>1</v>
      </c>
      <c r="Q677" s="160">
        <v>1</v>
      </c>
      <c r="R677" s="159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14">
        <v>45642</v>
      </c>
      <c r="C678" s="117" t="s">
        <v>482</v>
      </c>
      <c r="D678" s="3" t="str">
        <f>VLOOKUP(C678,'Location Summary'!$C$4:$D$602,2,0)</f>
        <v>DA+6</v>
      </c>
      <c r="E678" s="270" t="s">
        <v>405</v>
      </c>
      <c r="F678" s="271" t="s">
        <v>685</v>
      </c>
      <c r="J678" s="161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14">
        <v>45642</v>
      </c>
      <c r="C679" s="117" t="s">
        <v>65</v>
      </c>
      <c r="D679" s="3" t="str">
        <f>VLOOKUP(C679,'Location Summary'!$C$4:$D$602,2,0)</f>
        <v>DB1+0</v>
      </c>
      <c r="E679" s="270" t="s">
        <v>405</v>
      </c>
      <c r="F679" s="271" t="s">
        <v>685</v>
      </c>
      <c r="J679" s="161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14">
        <v>45642</v>
      </c>
      <c r="C680" s="117" t="s">
        <v>13</v>
      </c>
      <c r="D680" s="3" t="str">
        <f>VLOOKUP(C680,'Location Summary'!$C$4:$D$602,2,0)</f>
        <v>DC1+3</v>
      </c>
      <c r="E680" s="270" t="s">
        <v>405</v>
      </c>
      <c r="F680" s="271" t="s">
        <v>685</v>
      </c>
      <c r="G680" s="161">
        <v>1</v>
      </c>
      <c r="R680" s="159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14">
        <v>45642</v>
      </c>
      <c r="C681" s="117" t="s">
        <v>73</v>
      </c>
      <c r="D681" s="3" t="str">
        <f>VLOOKUP(C681,'Location Summary'!$C$4:$D$602,2,0)</f>
        <v>DB2+0</v>
      </c>
      <c r="E681" s="270" t="s">
        <v>405</v>
      </c>
      <c r="F681" s="271" t="s">
        <v>685</v>
      </c>
      <c r="H681" s="160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14">
        <v>45643</v>
      </c>
      <c r="C682" s="117" t="s">
        <v>634</v>
      </c>
      <c r="D682" s="3" t="str">
        <f>VLOOKUP(C682,'Location Summary'!$C$4:$D$602,2,0)</f>
        <v>DA+3</v>
      </c>
      <c r="E682" s="270" t="s">
        <v>405</v>
      </c>
      <c r="F682" s="271" t="s">
        <v>685</v>
      </c>
      <c r="J682" s="161">
        <v>1</v>
      </c>
      <c r="M682" s="161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14">
        <v>45643</v>
      </c>
      <c r="C683" s="117" t="s">
        <v>482</v>
      </c>
      <c r="D683" s="3" t="str">
        <f>VLOOKUP(C683,'Location Summary'!$C$4:$D$602,2,0)</f>
        <v>DA+6</v>
      </c>
      <c r="E683" s="270" t="s">
        <v>405</v>
      </c>
      <c r="F683" s="271" t="s">
        <v>685</v>
      </c>
      <c r="I683" s="159">
        <v>1</v>
      </c>
      <c r="K683" s="160">
        <v>1</v>
      </c>
      <c r="L683" s="159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14">
        <v>45643</v>
      </c>
      <c r="C684" s="117" t="s">
        <v>13</v>
      </c>
      <c r="D684" s="3" t="str">
        <f>VLOOKUP(C684,'Location Summary'!$C$4:$D$602,2,0)</f>
        <v>DC1+3</v>
      </c>
      <c r="E684" s="270" t="s">
        <v>405</v>
      </c>
      <c r="F684" s="271" t="s">
        <v>685</v>
      </c>
      <c r="H684" s="160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14">
        <v>45643</v>
      </c>
      <c r="C685" s="117" t="s">
        <v>73</v>
      </c>
      <c r="D685" s="3" t="str">
        <f>VLOOKUP(C685,'Location Summary'!$C$4:$D$602,2,0)</f>
        <v>DB2+0</v>
      </c>
      <c r="E685" s="270" t="s">
        <v>405</v>
      </c>
      <c r="F685" s="271" t="s">
        <v>685</v>
      </c>
      <c r="I685" s="159">
        <v>1</v>
      </c>
      <c r="J685" s="161">
        <v>1</v>
      </c>
      <c r="M685" s="161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14">
        <v>45644</v>
      </c>
      <c r="C686" s="117" t="s">
        <v>634</v>
      </c>
      <c r="D686" s="3" t="str">
        <f>VLOOKUP(C686,'Location Summary'!$C$4:$D$602,2,0)</f>
        <v>DA+3</v>
      </c>
      <c r="E686" s="270" t="s">
        <v>405</v>
      </c>
      <c r="F686" s="271" t="s">
        <v>685</v>
      </c>
      <c r="K686" s="160">
        <v>1</v>
      </c>
      <c r="N686" s="160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14">
        <v>45644</v>
      </c>
      <c r="C687" s="117" t="s">
        <v>65</v>
      </c>
      <c r="D687" s="3" t="str">
        <f>VLOOKUP(C687,'Location Summary'!$C$4:$D$602,2,0)</f>
        <v>DB1+0</v>
      </c>
      <c r="E687" s="270" t="s">
        <v>405</v>
      </c>
      <c r="F687" s="271" t="s">
        <v>685</v>
      </c>
      <c r="K687" s="160">
        <v>1</v>
      </c>
      <c r="L687" s="159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14">
        <v>45644</v>
      </c>
      <c r="C688" s="117" t="s">
        <v>13</v>
      </c>
      <c r="D688" s="3" t="str">
        <f>VLOOKUP(C688,'Location Summary'!$C$4:$D$602,2,0)</f>
        <v>DC1+3</v>
      </c>
      <c r="E688" s="270" t="s">
        <v>405</v>
      </c>
      <c r="F688" s="271" t="s">
        <v>685</v>
      </c>
      <c r="I688" s="159">
        <v>1</v>
      </c>
      <c r="M688" s="161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14">
        <v>45644</v>
      </c>
      <c r="C689" s="117" t="s">
        <v>73</v>
      </c>
      <c r="D689" s="3" t="str">
        <f>VLOOKUP(C689,'Location Summary'!$C$4:$D$602,2,0)</f>
        <v>DB2+0</v>
      </c>
      <c r="E689" s="270" t="s">
        <v>405</v>
      </c>
      <c r="F689" s="271" t="s">
        <v>685</v>
      </c>
      <c r="K689" s="160">
        <v>1</v>
      </c>
      <c r="L689" s="159">
        <v>1</v>
      </c>
      <c r="P689" s="161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14">
        <v>45644</v>
      </c>
      <c r="C690" s="117" t="s">
        <v>621</v>
      </c>
      <c r="D690" s="3" t="str">
        <f>VLOOKUP(C690,'Location Summary'!$C$4:$D$602,2,0)</f>
        <v>DA+3</v>
      </c>
      <c r="E690" s="270" t="s">
        <v>405</v>
      </c>
      <c r="F690" s="271" t="s">
        <v>685</v>
      </c>
      <c r="G690" s="161">
        <v>1</v>
      </c>
      <c r="P690" s="161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14">
        <v>45645</v>
      </c>
      <c r="C691" s="117" t="s">
        <v>634</v>
      </c>
      <c r="D691" s="3" t="str">
        <f>VLOOKUP(C691,'Location Summary'!$C$4:$D$602,2,0)</f>
        <v>DA+3</v>
      </c>
      <c r="E691" s="270" t="s">
        <v>405</v>
      </c>
      <c r="F691" s="271" t="s">
        <v>685</v>
      </c>
      <c r="L691" s="159">
        <v>1</v>
      </c>
      <c r="O691" s="159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14">
        <v>45645</v>
      </c>
      <c r="C692" s="117" t="s">
        <v>437</v>
      </c>
      <c r="D692" s="3" t="str">
        <f>VLOOKUP(C692,'Location Summary'!$C$4:$D$602,2,0)</f>
        <v>DA+9</v>
      </c>
      <c r="E692" s="270" t="s">
        <v>405</v>
      </c>
      <c r="F692" s="271" t="s">
        <v>685</v>
      </c>
      <c r="G692" s="161">
        <v>1</v>
      </c>
      <c r="M692" s="161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14">
        <v>45645</v>
      </c>
      <c r="C693" s="117" t="s">
        <v>13</v>
      </c>
      <c r="D693" s="3" t="str">
        <f>VLOOKUP(C693,'Location Summary'!$C$4:$D$602,2,0)</f>
        <v>DC1+3</v>
      </c>
      <c r="E693" s="270" t="s">
        <v>405</v>
      </c>
      <c r="F693" s="271" t="s">
        <v>685</v>
      </c>
      <c r="N693" s="160">
        <v>1</v>
      </c>
      <c r="O693" s="159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14">
        <v>45645</v>
      </c>
      <c r="C694" s="117" t="s">
        <v>73</v>
      </c>
      <c r="D694" s="3" t="str">
        <f>VLOOKUP(C694,'Location Summary'!$C$4:$D$602,2,0)</f>
        <v>DB2+0</v>
      </c>
      <c r="E694" s="270" t="s">
        <v>405</v>
      </c>
      <c r="F694" s="271" t="s">
        <v>685</v>
      </c>
      <c r="N694" s="160">
        <v>1</v>
      </c>
      <c r="O694" s="159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14">
        <v>45645</v>
      </c>
      <c r="C695" s="117" t="s">
        <v>621</v>
      </c>
      <c r="D695" s="3" t="str">
        <f>VLOOKUP(C695,'Location Summary'!$C$4:$D$602,2,0)</f>
        <v>DA+3</v>
      </c>
      <c r="E695" s="270" t="s">
        <v>405</v>
      </c>
      <c r="F695" s="271" t="s">
        <v>685</v>
      </c>
      <c r="H695" s="160">
        <v>1</v>
      </c>
      <c r="J695" s="161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14">
        <v>45645</v>
      </c>
      <c r="C696" s="117" t="s">
        <v>633</v>
      </c>
      <c r="D696" s="3" t="str">
        <f>VLOOKUP(C696,'Location Summary'!$C$4:$D$602,2,0)</f>
        <v>DA+9</v>
      </c>
      <c r="E696" s="270" t="s">
        <v>405</v>
      </c>
      <c r="F696" s="271" t="s">
        <v>685</v>
      </c>
      <c r="G696" s="161">
        <v>1</v>
      </c>
      <c r="J696" s="161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14">
        <v>45646</v>
      </c>
      <c r="C697" s="117" t="s">
        <v>633</v>
      </c>
      <c r="D697" s="3" t="str">
        <f>VLOOKUP(C697,'Location Summary'!$C$4:$D$602,2,0)</f>
        <v>DA+9</v>
      </c>
      <c r="E697" s="270" t="s">
        <v>405</v>
      </c>
      <c r="F697" s="271" t="s">
        <v>685</v>
      </c>
      <c r="H697" s="160">
        <v>1</v>
      </c>
      <c r="K697" s="160">
        <v>1</v>
      </c>
      <c r="M697" s="161">
        <v>1</v>
      </c>
      <c r="P697" s="161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14">
        <v>45646</v>
      </c>
      <c r="C698" s="117" t="s">
        <v>73</v>
      </c>
      <c r="D698" s="3" t="str">
        <f>VLOOKUP(C698,'Location Summary'!$C$4:$D$602,2,0)</f>
        <v>DB2+0</v>
      </c>
      <c r="E698" s="270" t="s">
        <v>405</v>
      </c>
      <c r="F698" s="271" t="s">
        <v>685</v>
      </c>
      <c r="Q698" s="160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14">
        <v>45646</v>
      </c>
      <c r="C699" s="117" t="s">
        <v>621</v>
      </c>
      <c r="D699" s="3" t="str">
        <f>VLOOKUP(C699,'Location Summary'!$C$4:$D$602,2,0)</f>
        <v>DA+3</v>
      </c>
      <c r="E699" s="270" t="s">
        <v>405</v>
      </c>
      <c r="F699" s="271" t="s">
        <v>685</v>
      </c>
      <c r="I699" s="159">
        <v>1</v>
      </c>
      <c r="M699" s="161">
        <v>1</v>
      </c>
      <c r="Q699" s="160">
        <v>1</v>
      </c>
      <c r="R699" s="159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14">
        <v>45647</v>
      </c>
      <c r="C700" s="117" t="s">
        <v>633</v>
      </c>
      <c r="D700" s="3" t="str">
        <f>VLOOKUP(C700,'Location Summary'!$C$4:$D$602,2,0)</f>
        <v>DA+9</v>
      </c>
      <c r="E700" s="270" t="s">
        <v>405</v>
      </c>
      <c r="F700" s="271" t="s">
        <v>685</v>
      </c>
      <c r="I700" s="159">
        <v>1</v>
      </c>
      <c r="L700" s="159">
        <v>1</v>
      </c>
      <c r="N700" s="160">
        <v>1</v>
      </c>
      <c r="O700" s="159">
        <v>1</v>
      </c>
      <c r="Q700" s="160">
        <v>1</v>
      </c>
      <c r="R700" s="159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14">
        <v>45647</v>
      </c>
      <c r="C701" s="117" t="s">
        <v>483</v>
      </c>
      <c r="D701" s="3" t="str">
        <f>VLOOKUP(C701,'Location Summary'!$C$4:$D$602,2,0)</f>
        <v>DA-1.5</v>
      </c>
      <c r="E701" s="270" t="s">
        <v>405</v>
      </c>
      <c r="F701" s="271" t="s">
        <v>685</v>
      </c>
      <c r="M701" s="161">
        <v>1</v>
      </c>
      <c r="P701" s="161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14">
        <v>45647</v>
      </c>
      <c r="C702" s="117" t="s">
        <v>437</v>
      </c>
      <c r="D702" s="3" t="str">
        <f>VLOOKUP(C702,'Location Summary'!$C$4:$D$602,2,0)</f>
        <v>DA+9</v>
      </c>
      <c r="E702" s="270" t="s">
        <v>405</v>
      </c>
      <c r="F702" s="271" t="s">
        <v>685</v>
      </c>
      <c r="H702" s="160">
        <v>1</v>
      </c>
      <c r="I702" s="159">
        <v>1</v>
      </c>
      <c r="J702" s="161">
        <v>1</v>
      </c>
      <c r="N702" s="160">
        <v>1</v>
      </c>
      <c r="O702" s="159">
        <v>1</v>
      </c>
      <c r="P702" s="161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14">
        <v>45647</v>
      </c>
      <c r="C703" s="117" t="s">
        <v>12</v>
      </c>
      <c r="D703" s="3" t="str">
        <f>VLOOKUP(C703,'Location Summary'!$C$4:$D$602,2,0)</f>
        <v>DC2+0</v>
      </c>
      <c r="E703" s="270" t="s">
        <v>405</v>
      </c>
      <c r="F703" s="271" t="s">
        <v>685</v>
      </c>
      <c r="P703" s="161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14">
        <v>45647</v>
      </c>
      <c r="C704" s="117" t="s">
        <v>73</v>
      </c>
      <c r="D704" s="3" t="str">
        <f>VLOOKUP(C704,'Location Summary'!$C$4:$D$602,2,0)</f>
        <v>DB2+0</v>
      </c>
      <c r="E704" s="270" t="s">
        <v>405</v>
      </c>
      <c r="F704" s="271" t="s">
        <v>685</v>
      </c>
      <c r="R704" s="159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14">
        <v>45647</v>
      </c>
      <c r="C705" s="117" t="s">
        <v>621</v>
      </c>
      <c r="D705" s="3" t="str">
        <f>VLOOKUP(C705,'Location Summary'!$C$4:$D$602,2,0)</f>
        <v>DA+3</v>
      </c>
      <c r="E705" s="270" t="s">
        <v>405</v>
      </c>
      <c r="F705" s="271" t="s">
        <v>685</v>
      </c>
      <c r="K705" s="160">
        <v>1</v>
      </c>
      <c r="L705" s="159">
        <v>1</v>
      </c>
      <c r="N705" s="160">
        <v>1</v>
      </c>
      <c r="O705" s="159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14">
        <v>45647</v>
      </c>
      <c r="C706" s="117" t="s">
        <v>623</v>
      </c>
      <c r="D706" s="3" t="str">
        <f>VLOOKUP(C706,'Location Summary'!$C$4:$D$602,2,0)</f>
        <v>DA+3</v>
      </c>
      <c r="E706" s="270" t="s">
        <v>405</v>
      </c>
      <c r="F706" s="271" t="s">
        <v>685</v>
      </c>
      <c r="J706" s="161">
        <v>1</v>
      </c>
      <c r="M706" s="161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14">
        <v>45648</v>
      </c>
      <c r="C707" s="117" t="s">
        <v>437</v>
      </c>
      <c r="D707" s="3" t="str">
        <f>VLOOKUP(C707,'Location Summary'!$C$4:$D$602,2,0)</f>
        <v>DA+9</v>
      </c>
      <c r="E707" s="270" t="s">
        <v>405</v>
      </c>
      <c r="F707" s="271" t="s">
        <v>685</v>
      </c>
      <c r="K707" s="160">
        <v>1</v>
      </c>
      <c r="L707" s="159">
        <v>1</v>
      </c>
      <c r="Q707" s="160">
        <v>1</v>
      </c>
      <c r="R707" s="159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14">
        <v>45648</v>
      </c>
      <c r="C708" s="117" t="s">
        <v>12</v>
      </c>
      <c r="D708" s="3" t="str">
        <f>VLOOKUP(C708,'Location Summary'!$C$4:$D$602,2,0)</f>
        <v>DC2+0</v>
      </c>
      <c r="E708" s="270" t="s">
        <v>405</v>
      </c>
      <c r="F708" s="271" t="s">
        <v>685</v>
      </c>
      <c r="Q708" s="160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14">
        <v>45648</v>
      </c>
      <c r="C709" s="117" t="s">
        <v>623</v>
      </c>
      <c r="D709" s="3" t="str">
        <f>VLOOKUP(C709,'Location Summary'!$C$4:$D$602,2,0)</f>
        <v>DA+3</v>
      </c>
      <c r="E709" s="270" t="s">
        <v>405</v>
      </c>
      <c r="F709" s="271" t="s">
        <v>685</v>
      </c>
      <c r="G709" s="161">
        <v>1</v>
      </c>
      <c r="K709" s="160">
        <v>1</v>
      </c>
      <c r="N709" s="160">
        <v>1</v>
      </c>
      <c r="P709" s="161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14">
        <v>45649</v>
      </c>
      <c r="C710" s="117" t="s">
        <v>635</v>
      </c>
      <c r="D710" s="3" t="str">
        <f>VLOOKUP(C710,'Location Summary'!$C$4:$D$602,2,0)</f>
        <v>DA-1.5</v>
      </c>
      <c r="E710" s="270" t="s">
        <v>405</v>
      </c>
      <c r="F710" s="271" t="s">
        <v>685</v>
      </c>
      <c r="J710" s="161">
        <v>1</v>
      </c>
      <c r="P710" s="161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14">
        <v>45649</v>
      </c>
      <c r="C711" s="117" t="s">
        <v>483</v>
      </c>
      <c r="D711" s="3" t="str">
        <f>VLOOKUP(C711,'Location Summary'!$C$4:$D$602,2,0)</f>
        <v>DA-1.5</v>
      </c>
      <c r="E711" s="270" t="s">
        <v>405</v>
      </c>
      <c r="F711" s="271" t="s">
        <v>685</v>
      </c>
      <c r="N711" s="160">
        <v>1</v>
      </c>
      <c r="Q711" s="160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14">
        <v>45649</v>
      </c>
      <c r="C712" s="117" t="s">
        <v>12</v>
      </c>
      <c r="D712" s="3" t="str">
        <f>VLOOKUP(C712,'Location Summary'!$C$4:$D$602,2,0)</f>
        <v>DC2+0</v>
      </c>
      <c r="E712" s="270" t="s">
        <v>405</v>
      </c>
      <c r="F712" s="271" t="s">
        <v>685</v>
      </c>
      <c r="M712" s="161">
        <v>1</v>
      </c>
      <c r="R712" s="159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14">
        <v>45649</v>
      </c>
      <c r="C713" s="117" t="s">
        <v>394</v>
      </c>
      <c r="D713" s="3" t="str">
        <f>VLOOKUP(C713,'Location Summary'!$C$4:$D$602,2,0)</f>
        <v>DA+9</v>
      </c>
      <c r="E713" s="270" t="s">
        <v>405</v>
      </c>
      <c r="F713" s="271" t="s">
        <v>685</v>
      </c>
      <c r="G713" s="161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14">
        <v>45649</v>
      </c>
      <c r="C714" s="117" t="s">
        <v>76</v>
      </c>
      <c r="D714" s="3" t="str">
        <f>VLOOKUP(C714,'Location Summary'!$C$4:$D$602,2,0)</f>
        <v>DA+9</v>
      </c>
      <c r="E714" s="270" t="s">
        <v>405</v>
      </c>
      <c r="F714" s="271" t="s">
        <v>685</v>
      </c>
      <c r="M714" s="161">
        <v>1</v>
      </c>
      <c r="P714" s="161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14">
        <v>45649</v>
      </c>
      <c r="C715" s="117" t="s">
        <v>623</v>
      </c>
      <c r="D715" s="3" t="str">
        <f>VLOOKUP(C715,'Location Summary'!$C$4:$D$602,2,0)</f>
        <v>DA+3</v>
      </c>
      <c r="E715" s="270" t="s">
        <v>405</v>
      </c>
      <c r="F715" s="271" t="s">
        <v>685</v>
      </c>
      <c r="H715" s="160">
        <v>1</v>
      </c>
      <c r="I715" s="159">
        <v>1</v>
      </c>
      <c r="L715" s="159">
        <v>1</v>
      </c>
      <c r="O715" s="159">
        <v>1</v>
      </c>
      <c r="Q715" s="160">
        <v>1</v>
      </c>
      <c r="R715" s="159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14">
        <v>45650</v>
      </c>
      <c r="C716" s="117" t="s">
        <v>635</v>
      </c>
      <c r="D716" s="3" t="str">
        <f>VLOOKUP(C716,'Location Summary'!$C$4:$D$602,2,0)</f>
        <v>DA-1.5</v>
      </c>
      <c r="E716" s="270" t="s">
        <v>405</v>
      </c>
      <c r="F716" s="271" t="s">
        <v>685</v>
      </c>
      <c r="G716" s="161">
        <v>1</v>
      </c>
      <c r="K716" s="160">
        <v>1</v>
      </c>
      <c r="L716" s="159">
        <v>1</v>
      </c>
      <c r="M716" s="161">
        <v>1</v>
      </c>
      <c r="Q716" s="160">
        <v>1</v>
      </c>
      <c r="R716" s="159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14">
        <v>45650</v>
      </c>
      <c r="C717" s="117" t="s">
        <v>12</v>
      </c>
      <c r="D717" s="3" t="str">
        <f>VLOOKUP(C717,'Location Summary'!$C$4:$D$602,2,0)</f>
        <v>DC2+0</v>
      </c>
      <c r="E717" s="270" t="s">
        <v>405</v>
      </c>
      <c r="F717" s="271" t="s">
        <v>685</v>
      </c>
      <c r="N717" s="160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14">
        <v>45650</v>
      </c>
      <c r="C718" s="117" t="s">
        <v>622</v>
      </c>
      <c r="D718" s="3" t="str">
        <f>VLOOKUP(C718,'Location Summary'!$C$4:$D$602,2,0)</f>
        <v>DA+1.5</v>
      </c>
      <c r="E718" s="270" t="s">
        <v>405</v>
      </c>
      <c r="F718" s="271" t="s">
        <v>685</v>
      </c>
      <c r="G718" s="161">
        <v>1</v>
      </c>
      <c r="P718" s="161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14">
        <v>45650</v>
      </c>
      <c r="C719" s="117" t="s">
        <v>76</v>
      </c>
      <c r="D719" s="3" t="str">
        <f>VLOOKUP(C719,'Location Summary'!$C$4:$D$602,2,0)</f>
        <v>DA+9</v>
      </c>
      <c r="E719" s="270" t="s">
        <v>405</v>
      </c>
      <c r="F719" s="271" t="s">
        <v>685</v>
      </c>
      <c r="J719" s="161">
        <v>1</v>
      </c>
      <c r="N719" s="160">
        <v>1</v>
      </c>
      <c r="O719" s="159">
        <v>1</v>
      </c>
      <c r="Q719" s="160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14">
        <v>45651</v>
      </c>
      <c r="C720" s="117" t="s">
        <v>635</v>
      </c>
      <c r="D720" s="3" t="str">
        <f>VLOOKUP(C720,'Location Summary'!$C$4:$D$602,2,0)</f>
        <v>DA-1.5</v>
      </c>
      <c r="E720" s="270" t="s">
        <v>405</v>
      </c>
      <c r="F720" s="271" t="s">
        <v>685</v>
      </c>
      <c r="H720" s="160">
        <v>1</v>
      </c>
      <c r="I720" s="159">
        <v>1</v>
      </c>
      <c r="N720" s="160">
        <v>1</v>
      </c>
      <c r="O720" s="159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14">
        <v>45651</v>
      </c>
      <c r="C721" s="117" t="s">
        <v>439</v>
      </c>
      <c r="D721" s="3" t="str">
        <f>VLOOKUP(C721,'Location Summary'!$C$4:$D$602,2,0)</f>
        <v>DA+9</v>
      </c>
      <c r="E721" s="270" t="s">
        <v>405</v>
      </c>
      <c r="F721" s="271" t="s">
        <v>685</v>
      </c>
      <c r="G721" s="161">
        <v>1</v>
      </c>
      <c r="P721" s="161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14">
        <v>45651</v>
      </c>
      <c r="C722" s="117" t="s">
        <v>12</v>
      </c>
      <c r="D722" s="3" t="str">
        <f>VLOOKUP(C722,'Location Summary'!$C$4:$D$602,2,0)</f>
        <v>DC2+0</v>
      </c>
      <c r="E722" s="270" t="s">
        <v>405</v>
      </c>
      <c r="F722" s="271" t="s">
        <v>685</v>
      </c>
      <c r="J722" s="161">
        <v>1</v>
      </c>
      <c r="O722" s="159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14">
        <v>45651</v>
      </c>
      <c r="C723" s="117" t="s">
        <v>394</v>
      </c>
      <c r="D723" s="3" t="str">
        <f>VLOOKUP(C723,'Location Summary'!$C$4:$D$602,2,0)</f>
        <v>DA+9</v>
      </c>
      <c r="E723" s="270" t="s">
        <v>405</v>
      </c>
      <c r="F723" s="271" t="s">
        <v>685</v>
      </c>
      <c r="M723" s="161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14">
        <v>45651</v>
      </c>
      <c r="C724" s="117" t="s">
        <v>622</v>
      </c>
      <c r="D724" s="3" t="str">
        <f>VLOOKUP(C724,'Location Summary'!$C$4:$D$602,2,0)</f>
        <v>DA+1.5</v>
      </c>
      <c r="E724" s="270" t="s">
        <v>405</v>
      </c>
      <c r="F724" s="271" t="s">
        <v>685</v>
      </c>
      <c r="H724" s="160">
        <v>1</v>
      </c>
      <c r="I724" s="159">
        <v>1</v>
      </c>
      <c r="Q724" s="160">
        <v>1</v>
      </c>
      <c r="R724" s="159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14">
        <v>45651</v>
      </c>
      <c r="C725" s="117" t="s">
        <v>76</v>
      </c>
      <c r="D725" s="3" t="str">
        <f>VLOOKUP(C725,'Location Summary'!$C$4:$D$602,2,0)</f>
        <v>DA+9</v>
      </c>
      <c r="E725" s="270" t="s">
        <v>405</v>
      </c>
      <c r="F725" s="271" t="s">
        <v>685</v>
      </c>
      <c r="K725" s="160">
        <v>1</v>
      </c>
      <c r="L725" s="159">
        <v>1</v>
      </c>
      <c r="R725" s="159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14">
        <v>45652</v>
      </c>
      <c r="C726" s="117" t="s">
        <v>632</v>
      </c>
      <c r="D726" s="3" t="str">
        <f>VLOOKUP(C726,'Location Summary'!$C$4:$D$602,2,0)</f>
        <v>DA+9</v>
      </c>
      <c r="E726" s="270" t="s">
        <v>405</v>
      </c>
      <c r="F726" s="271" t="s">
        <v>685</v>
      </c>
      <c r="G726" s="161">
        <v>1</v>
      </c>
      <c r="J726" s="161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14">
        <v>45652</v>
      </c>
      <c r="C727" s="117" t="s">
        <v>483</v>
      </c>
      <c r="D727" s="3" t="str">
        <f>VLOOKUP(C727,'Location Summary'!$C$4:$D$602,2,0)</f>
        <v>DA-1.5</v>
      </c>
      <c r="E727" s="270" t="s">
        <v>405</v>
      </c>
      <c r="F727" s="271" t="s">
        <v>685</v>
      </c>
      <c r="G727" s="161">
        <v>1</v>
      </c>
      <c r="O727" s="159">
        <v>1</v>
      </c>
      <c r="R727" s="159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14">
        <v>45652</v>
      </c>
      <c r="C728" s="117" t="s">
        <v>439</v>
      </c>
      <c r="D728" s="3" t="str">
        <f>VLOOKUP(C728,'Location Summary'!$C$4:$D$602,2,0)</f>
        <v>DA+9</v>
      </c>
      <c r="E728" s="270" t="s">
        <v>405</v>
      </c>
      <c r="F728" s="271" t="s">
        <v>685</v>
      </c>
      <c r="H728" s="160">
        <v>1</v>
      </c>
      <c r="I728" s="159">
        <v>1</v>
      </c>
      <c r="Q728" s="160">
        <v>1</v>
      </c>
      <c r="R728" s="159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14">
        <v>45652</v>
      </c>
      <c r="C729" s="117" t="s">
        <v>12</v>
      </c>
      <c r="D729" s="3" t="str">
        <f>VLOOKUP(C729,'Location Summary'!$C$4:$D$602,2,0)</f>
        <v>DC2+0</v>
      </c>
      <c r="E729" s="270" t="s">
        <v>405</v>
      </c>
      <c r="F729" s="271" t="s">
        <v>685</v>
      </c>
      <c r="K729" s="160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14">
        <v>45652</v>
      </c>
      <c r="C730" s="117" t="s">
        <v>394</v>
      </c>
      <c r="D730" s="3" t="str">
        <f>VLOOKUP(C730,'Location Summary'!$C$4:$D$602,2,0)</f>
        <v>DA+9</v>
      </c>
      <c r="E730" s="270" t="s">
        <v>405</v>
      </c>
      <c r="F730" s="271" t="s">
        <v>685</v>
      </c>
      <c r="H730" s="160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14">
        <v>45652</v>
      </c>
      <c r="C731" s="117" t="s">
        <v>76</v>
      </c>
      <c r="D731" s="3" t="str">
        <f>VLOOKUP(C731,'Location Summary'!$C$4:$D$602,2,0)</f>
        <v>DA+9</v>
      </c>
      <c r="E731" s="270" t="s">
        <v>405</v>
      </c>
      <c r="F731" s="271" t="s">
        <v>685</v>
      </c>
      <c r="G731" s="161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4">
        <v>45653</v>
      </c>
      <c r="C732" s="117" t="s">
        <v>632</v>
      </c>
      <c r="D732" s="3" t="str">
        <f>VLOOKUP(C732,'Location Summary'!$C$4:$D$602,2,0)</f>
        <v>DA+9</v>
      </c>
      <c r="E732" s="270" t="s">
        <v>405</v>
      </c>
      <c r="F732" s="271" t="s">
        <v>685</v>
      </c>
      <c r="H732" s="160">
        <v>1</v>
      </c>
      <c r="I732" s="159">
        <v>1</v>
      </c>
      <c r="K732" s="160">
        <v>1</v>
      </c>
      <c r="L732" s="159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14">
        <v>45653</v>
      </c>
      <c r="C733" s="117" t="s">
        <v>483</v>
      </c>
      <c r="D733" s="3" t="str">
        <f>VLOOKUP(C733,'Location Summary'!$C$4:$D$602,2,0)</f>
        <v>DA-1.5</v>
      </c>
      <c r="E733" s="270" t="s">
        <v>405</v>
      </c>
      <c r="F733" s="271" t="s">
        <v>685</v>
      </c>
      <c r="J733" s="161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14">
        <v>45653</v>
      </c>
      <c r="C734" s="117" t="s">
        <v>12</v>
      </c>
      <c r="D734" s="3" t="str">
        <f>VLOOKUP(C734,'Location Summary'!$C$4:$D$602,2,0)</f>
        <v>DC2+0</v>
      </c>
      <c r="E734" s="270" t="s">
        <v>405</v>
      </c>
      <c r="F734" s="271" t="s">
        <v>685</v>
      </c>
      <c r="G734" s="161">
        <v>1</v>
      </c>
      <c r="L734" s="159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14">
        <v>45653</v>
      </c>
      <c r="C735" s="34" t="s">
        <v>76</v>
      </c>
      <c r="D735" s="3" t="str">
        <f>VLOOKUP(C735,'Location Summary'!$C$4:$D$602,2,0)</f>
        <v>DA+9</v>
      </c>
      <c r="E735" s="270" t="s">
        <v>405</v>
      </c>
      <c r="F735" s="271" t="s">
        <v>685</v>
      </c>
      <c r="H735" s="160">
        <v>1</v>
      </c>
      <c r="I735" s="159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14">
        <v>45654</v>
      </c>
      <c r="C736" s="34" t="s">
        <v>632</v>
      </c>
      <c r="D736" s="3" t="str">
        <f>VLOOKUP(C736,'Location Summary'!$C$4:$D$602,2,0)</f>
        <v>DA+9</v>
      </c>
      <c r="E736" s="270" t="s">
        <v>405</v>
      </c>
      <c r="F736" s="271" t="s">
        <v>685</v>
      </c>
      <c r="M736" s="161">
        <v>1</v>
      </c>
      <c r="P736" s="161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14">
        <v>45654</v>
      </c>
      <c r="C737" s="34" t="s">
        <v>483</v>
      </c>
      <c r="D737" s="3" t="str">
        <f>VLOOKUP(C737,'Location Summary'!$C$4:$D$602,2,0)</f>
        <v>DA-1.5</v>
      </c>
      <c r="E737" s="270" t="s">
        <v>405</v>
      </c>
      <c r="F737" s="271" t="s">
        <v>685</v>
      </c>
      <c r="H737" s="160">
        <v>1</v>
      </c>
      <c r="K737" s="160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14">
        <v>45654</v>
      </c>
      <c r="C738" s="34" t="s">
        <v>439</v>
      </c>
      <c r="D738" s="3" t="str">
        <f>VLOOKUP(C738,'Location Summary'!$C$4:$D$602,2,0)</f>
        <v>DA+9</v>
      </c>
      <c r="E738" s="270" t="s">
        <v>405</v>
      </c>
      <c r="F738" s="271" t="s">
        <v>685</v>
      </c>
      <c r="J738" s="161">
        <v>1</v>
      </c>
      <c r="K738" s="160">
        <v>1</v>
      </c>
      <c r="L738" s="159">
        <v>1</v>
      </c>
      <c r="M738" s="161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14">
        <v>45654</v>
      </c>
      <c r="C739" s="117" t="s">
        <v>12</v>
      </c>
      <c r="D739" s="3" t="str">
        <f>VLOOKUP(C739,'Location Summary'!$C$4:$D$602,2,0)</f>
        <v>DC2+0</v>
      </c>
      <c r="E739" s="270" t="s">
        <v>405</v>
      </c>
      <c r="F739" s="271" t="s">
        <v>685</v>
      </c>
      <c r="H739" s="160">
        <v>1</v>
      </c>
      <c r="I739" s="159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14">
        <v>45654</v>
      </c>
      <c r="C740" s="117" t="s">
        <v>622</v>
      </c>
      <c r="D740" s="3" t="str">
        <f>VLOOKUP(C740,'Location Summary'!$C$4:$D$602,2,0)</f>
        <v>DA+1.5</v>
      </c>
      <c r="E740" s="270" t="s">
        <v>405</v>
      </c>
      <c r="F740" s="271" t="s">
        <v>685</v>
      </c>
      <c r="J740" s="161">
        <v>1</v>
      </c>
      <c r="M740" s="161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14">
        <v>45655</v>
      </c>
      <c r="C741" s="117" t="s">
        <v>632</v>
      </c>
      <c r="D741" s="3" t="str">
        <f>VLOOKUP(C741,'Location Summary'!$C$4:$D$602,2,0)</f>
        <v>DA+9</v>
      </c>
      <c r="E741" s="270" t="s">
        <v>405</v>
      </c>
      <c r="F741" s="271" t="s">
        <v>685</v>
      </c>
      <c r="N741" s="160">
        <v>1</v>
      </c>
      <c r="O741" s="159">
        <v>1</v>
      </c>
      <c r="Q741" s="160">
        <v>1</v>
      </c>
      <c r="R741" s="159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14">
        <v>45655</v>
      </c>
      <c r="C742" s="117" t="s">
        <v>439</v>
      </c>
      <c r="D742" s="3" t="str">
        <f>VLOOKUP(C742,'Location Summary'!$C$4:$D$602,2,0)</f>
        <v>DA+9</v>
      </c>
      <c r="E742" s="270" t="s">
        <v>405</v>
      </c>
      <c r="F742" s="271" t="s">
        <v>685</v>
      </c>
      <c r="N742" s="160">
        <v>1</v>
      </c>
      <c r="O742" s="159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14">
        <v>45655</v>
      </c>
      <c r="C743" s="117" t="s">
        <v>394</v>
      </c>
      <c r="D743" s="3" t="str">
        <f>VLOOKUP(C743,'Location Summary'!$C$4:$D$602,2,0)</f>
        <v>DA+9</v>
      </c>
      <c r="E743" s="270" t="s">
        <v>405</v>
      </c>
      <c r="F743" s="271" t="s">
        <v>685</v>
      </c>
      <c r="N743" s="160">
        <v>1</v>
      </c>
      <c r="P743" s="161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14">
        <v>45655</v>
      </c>
      <c r="C744" s="117" t="s">
        <v>622</v>
      </c>
      <c r="D744" s="3" t="str">
        <f>VLOOKUP(C744,'Location Summary'!$C$4:$D$602,2,0)</f>
        <v>DA+1.5</v>
      </c>
      <c r="E744" s="270" t="s">
        <v>405</v>
      </c>
      <c r="F744" s="271" t="s">
        <v>685</v>
      </c>
      <c r="K744" s="160">
        <v>1</v>
      </c>
      <c r="L744" s="159">
        <v>1</v>
      </c>
      <c r="N744" s="160">
        <v>1</v>
      </c>
      <c r="O744" s="159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14">
        <v>45655</v>
      </c>
      <c r="C745" s="117" t="s">
        <v>77</v>
      </c>
      <c r="D745" s="3" t="str">
        <f>VLOOKUP(C745,'Location Summary'!$C$4:$D$602,2,0)</f>
        <v>DB2+0</v>
      </c>
      <c r="E745" s="270" t="s">
        <v>405</v>
      </c>
      <c r="F745" s="271" t="s">
        <v>685</v>
      </c>
      <c r="G745" s="161">
        <v>1</v>
      </c>
      <c r="P745" s="161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14">
        <v>45655</v>
      </c>
      <c r="C746" s="117" t="s">
        <v>6</v>
      </c>
      <c r="D746" s="3" t="str">
        <f>VLOOKUP(C746,'Location Summary'!$C$4:$D$602,2,0)</f>
        <v>DA+6</v>
      </c>
      <c r="E746" s="270" t="s">
        <v>405</v>
      </c>
      <c r="F746" s="271" t="s">
        <v>685</v>
      </c>
      <c r="M746" s="161">
        <v>1</v>
      </c>
      <c r="P746" s="161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14">
        <v>45656</v>
      </c>
      <c r="C747" s="117" t="s">
        <v>6</v>
      </c>
      <c r="D747" s="3" t="str">
        <f>VLOOKUP(C747,'Location Summary'!$C$4:$D$602,2,0)</f>
        <v>DA+6</v>
      </c>
      <c r="E747" s="270" t="s">
        <v>405</v>
      </c>
      <c r="F747" s="271" t="s">
        <v>685</v>
      </c>
      <c r="G747" s="161">
        <v>1</v>
      </c>
      <c r="J747" s="161">
        <v>1</v>
      </c>
      <c r="N747" s="160">
        <v>1</v>
      </c>
      <c r="O747" s="159">
        <v>1</v>
      </c>
      <c r="Q747" s="160">
        <v>1</v>
      </c>
      <c r="R747" s="159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14">
        <v>45656</v>
      </c>
      <c r="C748" s="117" t="s">
        <v>483</v>
      </c>
      <c r="D748" s="3" t="str">
        <f>VLOOKUP(C748,'Location Summary'!$C$4:$D$602,2,0)</f>
        <v>DA-1.5</v>
      </c>
      <c r="E748" s="270" t="s">
        <v>405</v>
      </c>
      <c r="F748" s="271" t="s">
        <v>685</v>
      </c>
      <c r="I748" s="159">
        <v>1</v>
      </c>
      <c r="L748" s="159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14">
        <v>45656</v>
      </c>
      <c r="C749" s="117" t="s">
        <v>440</v>
      </c>
      <c r="D749" s="3" t="str">
        <f>VLOOKUP(C749,'Location Summary'!$C$4:$D$602,2,0)</f>
        <v>DA+0</v>
      </c>
      <c r="E749" s="270" t="s">
        <v>405</v>
      </c>
      <c r="F749" s="271" t="s">
        <v>685</v>
      </c>
      <c r="G749" s="161">
        <v>1</v>
      </c>
      <c r="P749" s="161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14">
        <v>45656</v>
      </c>
      <c r="C750" s="117" t="s">
        <v>425</v>
      </c>
      <c r="D750" s="3" t="str">
        <f>VLOOKUP(C750,'Location Summary'!$C$4:$D$602,2,0)</f>
        <v>DA+6</v>
      </c>
      <c r="E750" s="270" t="s">
        <v>405</v>
      </c>
      <c r="F750" s="271" t="s">
        <v>685</v>
      </c>
      <c r="G750" s="161">
        <v>1</v>
      </c>
      <c r="J750" s="161">
        <v>1</v>
      </c>
      <c r="M750" s="161">
        <v>1</v>
      </c>
      <c r="P750" s="161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14">
        <v>45656</v>
      </c>
      <c r="C751" s="117" t="s">
        <v>77</v>
      </c>
      <c r="D751" s="3" t="str">
        <f>VLOOKUP(C751,'Location Summary'!$C$4:$D$602,2,0)</f>
        <v>DB2+0</v>
      </c>
      <c r="E751" s="270" t="s">
        <v>405</v>
      </c>
      <c r="F751" s="271" t="s">
        <v>685</v>
      </c>
      <c r="H751" s="160">
        <v>1</v>
      </c>
      <c r="I751" s="159">
        <v>1</v>
      </c>
      <c r="Q751" s="160">
        <v>1</v>
      </c>
      <c r="R751" s="159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14">
        <v>45657</v>
      </c>
      <c r="C752" s="117" t="s">
        <v>6</v>
      </c>
      <c r="D752" s="3" t="str">
        <f>VLOOKUP(C752,'Location Summary'!$C$4:$D$602,2,0)</f>
        <v>DA+6</v>
      </c>
      <c r="E752" s="270" t="s">
        <v>405</v>
      </c>
      <c r="F752" s="271" t="s">
        <v>685</v>
      </c>
      <c r="H752" s="160">
        <v>1</v>
      </c>
      <c r="I752" s="159">
        <v>1</v>
      </c>
      <c r="K752" s="160">
        <v>1</v>
      </c>
      <c r="L752" s="159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14">
        <v>45657</v>
      </c>
      <c r="C753" s="117" t="s">
        <v>425</v>
      </c>
      <c r="D753" s="3" t="str">
        <f>VLOOKUP(C753,'Location Summary'!$C$4:$D$602,2,0)</f>
        <v>DA+6</v>
      </c>
      <c r="E753" s="270" t="s">
        <v>405</v>
      </c>
      <c r="F753" s="271" t="s">
        <v>685</v>
      </c>
      <c r="H753" s="160">
        <v>1</v>
      </c>
      <c r="I753" s="159">
        <v>1</v>
      </c>
      <c r="K753" s="160">
        <v>1</v>
      </c>
      <c r="L753" s="159">
        <v>1</v>
      </c>
      <c r="N753" s="160">
        <v>1</v>
      </c>
      <c r="O753" s="159">
        <v>1</v>
      </c>
      <c r="Q753" s="160">
        <v>1</v>
      </c>
      <c r="R753" s="159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14">
        <v>45658</v>
      </c>
      <c r="C754" s="117" t="s">
        <v>440</v>
      </c>
      <c r="D754" s="3" t="str">
        <f>VLOOKUP(C754,'Location Summary'!$C$4:$D$602,2,0)</f>
        <v>DA+0</v>
      </c>
      <c r="E754" s="270" t="s">
        <v>405</v>
      </c>
      <c r="F754" s="271" t="s">
        <v>685</v>
      </c>
      <c r="H754" s="160">
        <v>1</v>
      </c>
      <c r="I754" s="159">
        <v>1</v>
      </c>
      <c r="M754" s="161">
        <v>1</v>
      </c>
      <c r="Q754" s="160">
        <v>1</v>
      </c>
      <c r="R754" s="159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14">
        <v>45658</v>
      </c>
      <c r="C755" s="117" t="s">
        <v>624</v>
      </c>
      <c r="D755" s="3" t="str">
        <f>VLOOKUP(C755,'Location Summary'!$C$4:$D$602,2,0)</f>
        <v>DA+1.5</v>
      </c>
      <c r="E755" s="270" t="s">
        <v>405</v>
      </c>
      <c r="F755" s="271" t="s">
        <v>685</v>
      </c>
      <c r="G755" s="161">
        <v>1</v>
      </c>
      <c r="P755" s="161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14">
        <v>45658</v>
      </c>
      <c r="C756" s="117" t="s">
        <v>77</v>
      </c>
      <c r="D756" s="3" t="str">
        <f>VLOOKUP(C756,'Location Summary'!$C$4:$D$602,2,0)</f>
        <v>DB2+0</v>
      </c>
      <c r="E756" s="270" t="s">
        <v>405</v>
      </c>
      <c r="F756" s="271" t="s">
        <v>685</v>
      </c>
      <c r="J756" s="161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14">
        <v>45659</v>
      </c>
      <c r="C757" s="117" t="s">
        <v>440</v>
      </c>
      <c r="D757" s="3" t="str">
        <f>VLOOKUP(C757,'Location Summary'!$C$4:$D$602,2,0)</f>
        <v>DA+0</v>
      </c>
      <c r="E757" s="270" t="s">
        <v>405</v>
      </c>
      <c r="F757" s="271" t="s">
        <v>685</v>
      </c>
      <c r="J757" s="161">
        <v>1</v>
      </c>
      <c r="N757" s="160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14">
        <v>45659</v>
      </c>
      <c r="C758" s="117" t="s">
        <v>624</v>
      </c>
      <c r="D758" s="3" t="str">
        <f>VLOOKUP(C758,'Location Summary'!$C$4:$D$602,2,0)</f>
        <v>DA+1.5</v>
      </c>
      <c r="E758" s="270" t="s">
        <v>405</v>
      </c>
      <c r="F758" s="271" t="s">
        <v>685</v>
      </c>
      <c r="H758" s="160">
        <v>1</v>
      </c>
      <c r="Q758" s="160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14">
        <v>45659</v>
      </c>
      <c r="C759" s="117" t="s">
        <v>77</v>
      </c>
      <c r="D759" s="3" t="str">
        <f>VLOOKUP(C759,'Location Summary'!$C$4:$D$602,2,0)</f>
        <v>DB2+0</v>
      </c>
      <c r="E759" s="270" t="s">
        <v>405</v>
      </c>
      <c r="F759" s="271" t="s">
        <v>685</v>
      </c>
      <c r="K759" s="160">
        <v>1</v>
      </c>
      <c r="M759" s="161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14">
        <v>45659</v>
      </c>
      <c r="C760" s="117" t="s">
        <v>394</v>
      </c>
      <c r="D760" s="3" t="str">
        <f>VLOOKUP(C760,'Location Summary'!$C$4:$D$602,2,0)</f>
        <v>DA+9</v>
      </c>
      <c r="E760" s="270" t="s">
        <v>405</v>
      </c>
      <c r="F760" s="271" t="s">
        <v>685</v>
      </c>
      <c r="I760" s="159">
        <v>1</v>
      </c>
      <c r="O760" s="159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14">
        <v>45660</v>
      </c>
      <c r="C761" s="117" t="s">
        <v>636</v>
      </c>
      <c r="D761" s="3" t="str">
        <f>VLOOKUP(C761,'Location Summary'!$C$4:$D$602,2,0)</f>
        <v>DA+9</v>
      </c>
      <c r="E761" s="270" t="s">
        <v>405</v>
      </c>
      <c r="F761" s="271" t="s">
        <v>685</v>
      </c>
      <c r="G761" s="161">
        <v>1</v>
      </c>
      <c r="P761" s="161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14">
        <v>45660</v>
      </c>
      <c r="C762" s="117" t="s">
        <v>440</v>
      </c>
      <c r="D762" s="3" t="str">
        <f>VLOOKUP(C762,'Location Summary'!$C$4:$D$602,2,0)</f>
        <v>DA+0</v>
      </c>
      <c r="E762" s="270" t="s">
        <v>405</v>
      </c>
      <c r="F762" s="271" t="s">
        <v>685</v>
      </c>
      <c r="K762" s="160">
        <v>1</v>
      </c>
      <c r="L762" s="159">
        <v>1</v>
      </c>
      <c r="O762" s="159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14">
        <v>45660</v>
      </c>
      <c r="C763" s="117" t="s">
        <v>394</v>
      </c>
      <c r="D763" s="3" t="str">
        <f>VLOOKUP(C763,'Location Summary'!$C$4:$D$602,2,0)</f>
        <v>DA+9</v>
      </c>
      <c r="E763" s="270" t="s">
        <v>405</v>
      </c>
      <c r="F763" s="271" t="s">
        <v>685</v>
      </c>
      <c r="J763" s="161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14">
        <v>45660</v>
      </c>
      <c r="C764" s="117" t="s">
        <v>624</v>
      </c>
      <c r="D764" s="3" t="str">
        <f>VLOOKUP(C764,'Location Summary'!$C$4:$D$602,2,0)</f>
        <v>DA+1.5</v>
      </c>
      <c r="E764" s="270" t="s">
        <v>405</v>
      </c>
      <c r="F764" s="271" t="s">
        <v>685</v>
      </c>
      <c r="I764" s="159">
        <v>1</v>
      </c>
      <c r="M764" s="161">
        <v>1</v>
      </c>
      <c r="R764" s="159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14">
        <v>45660</v>
      </c>
      <c r="C765" s="117" t="s">
        <v>77</v>
      </c>
      <c r="D765" s="3" t="str">
        <f>VLOOKUP(C765,'Location Summary'!$C$4:$D$602,2,0)</f>
        <v>DB2+0</v>
      </c>
      <c r="E765" s="270" t="s">
        <v>405</v>
      </c>
      <c r="F765" s="271" t="s">
        <v>685</v>
      </c>
      <c r="L765" s="159">
        <v>1</v>
      </c>
      <c r="N765" s="160">
        <v>1</v>
      </c>
      <c r="O765" s="159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14">
        <v>45661</v>
      </c>
      <c r="C766" s="117" t="s">
        <v>636</v>
      </c>
      <c r="D766" s="3" t="str">
        <f>VLOOKUP(C766,'Location Summary'!$C$4:$D$602,2,0)</f>
        <v>DA+9</v>
      </c>
      <c r="E766" s="270" t="s">
        <v>405</v>
      </c>
      <c r="F766" s="271" t="s">
        <v>685</v>
      </c>
      <c r="H766" s="160">
        <v>1</v>
      </c>
      <c r="I766" s="159">
        <v>1</v>
      </c>
      <c r="J766" s="161">
        <v>1</v>
      </c>
      <c r="M766" s="161">
        <v>1</v>
      </c>
      <c r="Q766" s="160">
        <v>1</v>
      </c>
      <c r="R766" s="159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14">
        <v>45661</v>
      </c>
      <c r="C767" s="117" t="s">
        <v>262</v>
      </c>
      <c r="D767" s="3" t="str">
        <f>VLOOKUP(C767,'Location Summary'!$C$4:$D$602,2,0)</f>
        <v>DB1+0</v>
      </c>
      <c r="E767" s="270" t="s">
        <v>405</v>
      </c>
      <c r="F767" s="271" t="s">
        <v>685</v>
      </c>
      <c r="M767" s="161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14">
        <v>45661</v>
      </c>
      <c r="C768" s="117" t="s">
        <v>441</v>
      </c>
      <c r="D768" s="3" t="str">
        <f>VLOOKUP(C768,'Location Summary'!$C$4:$D$602,2,0)</f>
        <v>DA+6</v>
      </c>
      <c r="E768" s="270" t="s">
        <v>405</v>
      </c>
      <c r="F768" s="271" t="s">
        <v>685</v>
      </c>
      <c r="G768" s="161">
        <v>1</v>
      </c>
      <c r="J768" s="161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14">
        <v>45661</v>
      </c>
      <c r="C769" s="117" t="s">
        <v>394</v>
      </c>
      <c r="D769" s="3" t="str">
        <f>VLOOKUP(C769,'Location Summary'!$C$4:$D$602,2,0)</f>
        <v>DA+9</v>
      </c>
      <c r="E769" s="270" t="s">
        <v>405</v>
      </c>
      <c r="F769" s="271" t="s">
        <v>685</v>
      </c>
      <c r="Q769" s="160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14">
        <v>45661</v>
      </c>
      <c r="C770" s="117" t="s">
        <v>624</v>
      </c>
      <c r="D770" s="3" t="str">
        <f>VLOOKUP(C770,'Location Summary'!$C$4:$D$602,2,0)</f>
        <v>DA+1.5</v>
      </c>
      <c r="E770" s="270" t="s">
        <v>405</v>
      </c>
      <c r="F770" s="271" t="s">
        <v>685</v>
      </c>
      <c r="J770" s="161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14">
        <v>45662</v>
      </c>
      <c r="C771" s="117" t="s">
        <v>636</v>
      </c>
      <c r="D771" s="3" t="str">
        <f>VLOOKUP(C771,'Location Summary'!$C$4:$D$602,2,0)</f>
        <v>DA+9</v>
      </c>
      <c r="E771" s="270" t="s">
        <v>405</v>
      </c>
      <c r="F771" s="271" t="s">
        <v>685</v>
      </c>
      <c r="K771" s="160">
        <v>1</v>
      </c>
      <c r="L771" s="159">
        <v>1</v>
      </c>
      <c r="N771" s="160">
        <v>1</v>
      </c>
      <c r="O771" s="159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14">
        <v>45662</v>
      </c>
      <c r="C772" s="117" t="s">
        <v>441</v>
      </c>
      <c r="D772" s="3" t="str">
        <f>VLOOKUP(C772,'Location Summary'!$C$4:$D$602,2,0)</f>
        <v>DA+6</v>
      </c>
      <c r="E772" s="270" t="s">
        <v>405</v>
      </c>
      <c r="F772" s="271" t="s">
        <v>685</v>
      </c>
      <c r="H772" s="160">
        <v>1</v>
      </c>
      <c r="I772" s="159">
        <v>1</v>
      </c>
      <c r="K772" s="160">
        <v>1</v>
      </c>
      <c r="L772" s="159">
        <v>1</v>
      </c>
      <c r="M772" s="161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14">
        <v>45662</v>
      </c>
      <c r="C773" s="117" t="s">
        <v>55</v>
      </c>
      <c r="D773" s="3" t="str">
        <f>VLOOKUP(C773,'Location Summary'!$C$4:$D$602,2,0)</f>
        <v>DC2+15</v>
      </c>
      <c r="E773" s="270" t="s">
        <v>405</v>
      </c>
      <c r="F773" s="271" t="s">
        <v>685</v>
      </c>
      <c r="J773" s="161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14">
        <v>45662</v>
      </c>
      <c r="C774" s="117" t="s">
        <v>394</v>
      </c>
      <c r="D774" s="3" t="str">
        <f>VLOOKUP(C774,'Location Summary'!$C$4:$D$602,2,0)</f>
        <v>DA+9</v>
      </c>
      <c r="E774" s="270" t="s">
        <v>405</v>
      </c>
      <c r="F774" s="271" t="s">
        <v>685</v>
      </c>
      <c r="K774" s="160">
        <v>1</v>
      </c>
      <c r="R774" s="159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14">
        <v>45662</v>
      </c>
      <c r="C775" s="117" t="s">
        <v>624</v>
      </c>
      <c r="D775" s="3" t="str">
        <f>VLOOKUP(C775,'Location Summary'!$C$4:$D$602,2,0)</f>
        <v>DA+1.5</v>
      </c>
      <c r="E775" s="270" t="s">
        <v>405</v>
      </c>
      <c r="F775" s="271" t="s">
        <v>685</v>
      </c>
      <c r="K775" s="160">
        <v>1</v>
      </c>
      <c r="L775" s="159">
        <v>1</v>
      </c>
      <c r="N775" s="160">
        <v>1</v>
      </c>
      <c r="O775" s="159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14">
        <v>45662</v>
      </c>
      <c r="C776" s="117" t="s">
        <v>171</v>
      </c>
      <c r="D776" s="3" t="str">
        <f>VLOOKUP(C776,'Location Summary'!$C$4:$D$602,2,0)</f>
        <v>DA+3</v>
      </c>
      <c r="E776" s="270" t="s">
        <v>405</v>
      </c>
      <c r="F776" s="271" t="s">
        <v>685</v>
      </c>
      <c r="J776" s="161">
        <v>1</v>
      </c>
      <c r="M776" s="161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14">
        <v>45663</v>
      </c>
      <c r="C777" s="117" t="s">
        <v>637</v>
      </c>
      <c r="D777" s="3" t="str">
        <f>VLOOKUP(C777,'Location Summary'!$C$4:$D$602,2,0)</f>
        <v>DA+3</v>
      </c>
      <c r="E777" s="270" t="s">
        <v>405</v>
      </c>
      <c r="F777" s="271" t="s">
        <v>685</v>
      </c>
      <c r="G777" s="161">
        <v>1</v>
      </c>
      <c r="J777" s="161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14">
        <v>45663</v>
      </c>
      <c r="C778" s="117" t="s">
        <v>262</v>
      </c>
      <c r="D778" s="3" t="str">
        <f>VLOOKUP(C778,'Location Summary'!$C$4:$D$602,2,0)</f>
        <v>DB1+0</v>
      </c>
      <c r="E778" s="270" t="s">
        <v>405</v>
      </c>
      <c r="F778" s="271" t="s">
        <v>685</v>
      </c>
      <c r="J778" s="161">
        <v>1</v>
      </c>
      <c r="N778" s="160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14">
        <v>45663</v>
      </c>
      <c r="C779" s="117" t="s">
        <v>441</v>
      </c>
      <c r="D779" s="3" t="str">
        <f>VLOOKUP(C779,'Location Summary'!$C$4:$D$602,2,0)</f>
        <v>DA+6</v>
      </c>
      <c r="E779" s="270" t="s">
        <v>405</v>
      </c>
      <c r="F779" s="271" t="s">
        <v>685</v>
      </c>
      <c r="N779" s="160">
        <v>1</v>
      </c>
      <c r="P779" s="161">
        <v>1</v>
      </c>
      <c r="Q779" s="160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14">
        <v>45663</v>
      </c>
      <c r="C780" s="117" t="s">
        <v>55</v>
      </c>
      <c r="D780" s="3" t="str">
        <f>VLOOKUP(C780,'Location Summary'!$C$4:$D$602,2,0)</f>
        <v>DC2+15</v>
      </c>
      <c r="E780" s="270" t="s">
        <v>405</v>
      </c>
      <c r="F780" s="271" t="s">
        <v>685</v>
      </c>
      <c r="K780" s="160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14">
        <v>45663</v>
      </c>
      <c r="C781" s="117" t="s">
        <v>394</v>
      </c>
      <c r="D781" s="3" t="str">
        <f>VLOOKUP(C781,'Location Summary'!$C$4:$D$602,2,0)</f>
        <v>DA+9</v>
      </c>
      <c r="E781" s="270" t="s">
        <v>405</v>
      </c>
      <c r="F781" s="271" t="s">
        <v>685</v>
      </c>
      <c r="L781" s="159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14">
        <v>45663</v>
      </c>
      <c r="C782" s="117" t="s">
        <v>625</v>
      </c>
      <c r="D782" s="3" t="str">
        <f>VLOOKUP(C782,'Location Summary'!$C$4:$D$602,2,0)</f>
        <v>DA+1.5</v>
      </c>
      <c r="E782" s="270" t="s">
        <v>405</v>
      </c>
      <c r="F782" s="271" t="s">
        <v>685</v>
      </c>
      <c r="G782" s="161">
        <v>1</v>
      </c>
      <c r="J782" s="161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14">
        <v>45663</v>
      </c>
      <c r="C783" s="117" t="s">
        <v>171</v>
      </c>
      <c r="D783" s="3" t="str">
        <f>VLOOKUP(C783,'Location Summary'!$C$4:$D$602,2,0)</f>
        <v>DA+3</v>
      </c>
      <c r="E783" s="270" t="s">
        <v>405</v>
      </c>
      <c r="F783" s="271" t="s">
        <v>685</v>
      </c>
      <c r="K783" s="160">
        <v>1</v>
      </c>
      <c r="N783" s="160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14">
        <v>45664</v>
      </c>
      <c r="C784" s="117" t="s">
        <v>637</v>
      </c>
      <c r="D784" s="3" t="str">
        <f>VLOOKUP(C784,'Location Summary'!$C$4:$D$602,2,0)</f>
        <v>DA+3</v>
      </c>
      <c r="E784" s="270" t="s">
        <v>405</v>
      </c>
      <c r="F784" s="271" t="s">
        <v>685</v>
      </c>
      <c r="H784" s="160">
        <v>1</v>
      </c>
      <c r="I784" s="159">
        <v>1</v>
      </c>
      <c r="K784" s="160">
        <v>1</v>
      </c>
      <c r="L784" s="159">
        <v>1</v>
      </c>
      <c r="M784" s="161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14">
        <v>45664</v>
      </c>
      <c r="C785" s="117" t="s">
        <v>262</v>
      </c>
      <c r="D785" s="3" t="str">
        <f>VLOOKUP(C785,'Location Summary'!$C$4:$D$602,2,0)</f>
        <v>DB1+0</v>
      </c>
      <c r="E785" s="270" t="s">
        <v>405</v>
      </c>
      <c r="F785" s="271" t="s">
        <v>685</v>
      </c>
      <c r="O785" s="159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14">
        <v>45664</v>
      </c>
      <c r="C786" s="117" t="s">
        <v>441</v>
      </c>
      <c r="D786" s="3" t="str">
        <f>VLOOKUP(C786,'Location Summary'!$C$4:$D$602,2,0)</f>
        <v>DA+6</v>
      </c>
      <c r="E786" s="270" t="s">
        <v>405</v>
      </c>
      <c r="F786" s="271" t="s">
        <v>685</v>
      </c>
      <c r="O786" s="159">
        <v>1</v>
      </c>
      <c r="R786" s="159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14">
        <v>45664</v>
      </c>
      <c r="C787" s="117" t="s">
        <v>55</v>
      </c>
      <c r="D787" s="3" t="str">
        <f>VLOOKUP(C787,'Location Summary'!$C$4:$D$602,2,0)</f>
        <v>DC2+15</v>
      </c>
      <c r="E787" s="270" t="s">
        <v>405</v>
      </c>
      <c r="F787" s="271" t="s">
        <v>685</v>
      </c>
      <c r="G787" s="161">
        <v>1</v>
      </c>
      <c r="L787" s="159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14">
        <v>45664</v>
      </c>
      <c r="C788" s="117" t="s">
        <v>625</v>
      </c>
      <c r="D788" s="3" t="str">
        <f>VLOOKUP(C788,'Location Summary'!$C$4:$D$602,2,0)</f>
        <v>DA+1.5</v>
      </c>
      <c r="E788" s="270" t="s">
        <v>405</v>
      </c>
      <c r="F788" s="271" t="s">
        <v>685</v>
      </c>
      <c r="H788" s="160">
        <v>1</v>
      </c>
      <c r="I788" s="159">
        <v>1</v>
      </c>
      <c r="K788" s="160">
        <v>1</v>
      </c>
      <c r="L788" s="159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14">
        <v>45664</v>
      </c>
      <c r="C789" s="117" t="s">
        <v>171</v>
      </c>
      <c r="D789" s="3" t="str">
        <f>VLOOKUP(C789,'Location Summary'!$C$4:$D$602,2,0)</f>
        <v>DA+3</v>
      </c>
      <c r="E789" s="270" t="s">
        <v>405</v>
      </c>
      <c r="F789" s="271" t="s">
        <v>685</v>
      </c>
      <c r="G789" s="161">
        <v>1</v>
      </c>
      <c r="L789" s="159">
        <v>1</v>
      </c>
      <c r="O789" s="159">
        <v>1</v>
      </c>
      <c r="P789" s="161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14">
        <v>45665</v>
      </c>
      <c r="C790" s="117" t="s">
        <v>637</v>
      </c>
      <c r="D790" s="3" t="str">
        <f>VLOOKUP(C790,'Location Summary'!$C$4:$D$602,2,0)</f>
        <v>DA+3</v>
      </c>
      <c r="E790" s="270" t="s">
        <v>405</v>
      </c>
      <c r="F790" s="271" t="s">
        <v>685</v>
      </c>
      <c r="N790" s="160">
        <v>1</v>
      </c>
      <c r="O790" s="159">
        <v>1</v>
      </c>
      <c r="P790" s="161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14">
        <v>45665</v>
      </c>
      <c r="C791" s="117" t="s">
        <v>442</v>
      </c>
      <c r="D791" s="3" t="str">
        <f>VLOOKUP(C791,'Location Summary'!$C$4:$D$602,2,0)</f>
        <v>DA-3</v>
      </c>
      <c r="E791" s="270" t="s">
        <v>405</v>
      </c>
      <c r="F791" s="271" t="s">
        <v>685</v>
      </c>
      <c r="G791" s="161">
        <v>1</v>
      </c>
      <c r="J791" s="161">
        <v>1</v>
      </c>
      <c r="M791" s="161">
        <v>1</v>
      </c>
      <c r="P791" s="161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14">
        <v>45665</v>
      </c>
      <c r="C792" s="117" t="s">
        <v>625</v>
      </c>
      <c r="D792" s="3" t="str">
        <f>VLOOKUP(C792,'Location Summary'!$C$4:$D$602,2,0)</f>
        <v>DA+1.5</v>
      </c>
      <c r="E792" s="270" t="s">
        <v>405</v>
      </c>
      <c r="F792" s="271" t="s">
        <v>685</v>
      </c>
      <c r="M792" s="161">
        <v>1</v>
      </c>
      <c r="P792" s="161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14">
        <v>45665</v>
      </c>
      <c r="C793" s="117" t="s">
        <v>171</v>
      </c>
      <c r="D793" s="3" t="str">
        <f>VLOOKUP(C793,'Location Summary'!$C$4:$D$602,2,0)</f>
        <v>DA+3</v>
      </c>
      <c r="E793" s="270" t="s">
        <v>405</v>
      </c>
      <c r="F793" s="271" t="s">
        <v>685</v>
      </c>
      <c r="H793" s="160">
        <v>1</v>
      </c>
      <c r="I793" s="159">
        <v>1</v>
      </c>
      <c r="Q793" s="160">
        <v>1</v>
      </c>
      <c r="R793" s="159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14">
        <v>45666</v>
      </c>
      <c r="C794" s="117" t="s">
        <v>637</v>
      </c>
      <c r="D794" s="3" t="str">
        <f>VLOOKUP(C794,'Location Summary'!$C$4:$D$602,2,0)</f>
        <v>DA+3</v>
      </c>
      <c r="E794" s="270" t="s">
        <v>405</v>
      </c>
      <c r="F794" s="271" t="s">
        <v>685</v>
      </c>
      <c r="Q794" s="160">
        <v>1</v>
      </c>
      <c r="R794" s="159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14">
        <v>45666</v>
      </c>
      <c r="C795" s="117" t="s">
        <v>262</v>
      </c>
      <c r="D795" s="3" t="str">
        <f>VLOOKUP(C795,'Location Summary'!$C$4:$D$602,2,0)</f>
        <v>DB1+0</v>
      </c>
      <c r="E795" s="270" t="s">
        <v>405</v>
      </c>
      <c r="F795" s="271" t="s">
        <v>685</v>
      </c>
      <c r="K795" s="160">
        <v>1</v>
      </c>
      <c r="L795" s="159">
        <v>1</v>
      </c>
      <c r="P795" s="161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14">
        <v>45666</v>
      </c>
      <c r="C796" s="117" t="s">
        <v>442</v>
      </c>
      <c r="D796" s="3" t="str">
        <f>VLOOKUP(C796,'Location Summary'!$C$4:$D$602,2,0)</f>
        <v>DA-3</v>
      </c>
      <c r="E796" s="270" t="s">
        <v>405</v>
      </c>
      <c r="F796" s="271" t="s">
        <v>685</v>
      </c>
      <c r="H796" s="160">
        <v>1</v>
      </c>
      <c r="I796" s="159">
        <v>1</v>
      </c>
      <c r="K796" s="160">
        <v>1</v>
      </c>
      <c r="L796" s="159">
        <v>1</v>
      </c>
      <c r="N796" s="160">
        <v>1</v>
      </c>
      <c r="O796" s="159">
        <v>1</v>
      </c>
      <c r="Q796" s="160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14">
        <v>45666</v>
      </c>
      <c r="C797" s="117" t="s">
        <v>625</v>
      </c>
      <c r="D797" s="3" t="str">
        <f>VLOOKUP(C797,'Location Summary'!$C$4:$D$602,2,0)</f>
        <v>DA+1.5</v>
      </c>
      <c r="E797" s="270" t="s">
        <v>405</v>
      </c>
      <c r="F797" s="271" t="s">
        <v>685</v>
      </c>
      <c r="N797" s="160">
        <v>1</v>
      </c>
      <c r="O797" s="159">
        <v>1</v>
      </c>
      <c r="Q797" s="160">
        <v>1</v>
      </c>
      <c r="R797" s="159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14">
        <v>45666</v>
      </c>
      <c r="C798" s="117" t="s">
        <v>638</v>
      </c>
      <c r="D798" s="3" t="str">
        <f>VLOOKUP(C798,'Location Summary'!$C$4:$D$602,2,0)</f>
        <v>DA+9</v>
      </c>
      <c r="E798" s="270" t="s">
        <v>405</v>
      </c>
      <c r="F798" s="271" t="s">
        <v>685</v>
      </c>
      <c r="G798" s="161">
        <v>1</v>
      </c>
      <c r="J798" s="161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14">
        <v>45667</v>
      </c>
      <c r="C799" s="117" t="s">
        <v>638</v>
      </c>
      <c r="D799" s="3" t="str">
        <f>VLOOKUP(C799,'Location Summary'!$C$4:$D$602,2,0)</f>
        <v>DA+9</v>
      </c>
      <c r="E799" s="270" t="s">
        <v>405</v>
      </c>
      <c r="F799" s="271" t="s">
        <v>685</v>
      </c>
      <c r="H799" s="160">
        <v>1</v>
      </c>
      <c r="K799" s="160">
        <v>1</v>
      </c>
      <c r="P799" s="161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14">
        <v>45667</v>
      </c>
      <c r="C800" s="117" t="s">
        <v>262</v>
      </c>
      <c r="D800" s="3" t="str">
        <f>VLOOKUP(C800,'Location Summary'!$C$4:$D$602,2,0)</f>
        <v>DB1+0</v>
      </c>
      <c r="E800" s="270" t="s">
        <v>405</v>
      </c>
      <c r="F800" s="271" t="s">
        <v>685</v>
      </c>
      <c r="Q800" s="160">
        <v>1</v>
      </c>
      <c r="R800" s="159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14">
        <v>45667</v>
      </c>
      <c r="C801" s="117" t="s">
        <v>442</v>
      </c>
      <c r="D801" s="3" t="str">
        <f>VLOOKUP(C801,'Location Summary'!$C$4:$D$602,2,0)</f>
        <v>DA-3</v>
      </c>
      <c r="E801" s="270" t="s">
        <v>405</v>
      </c>
      <c r="F801" s="271" t="s">
        <v>685</v>
      </c>
      <c r="R801" s="159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14">
        <v>45667</v>
      </c>
      <c r="C802" s="117" t="s">
        <v>172</v>
      </c>
      <c r="D802" s="3" t="str">
        <f>VLOOKUP(C802,'Location Summary'!$C$4:$D$602,2,0)</f>
        <v>DA+9</v>
      </c>
      <c r="E802" s="270" t="s">
        <v>405</v>
      </c>
      <c r="F802" s="271" t="s">
        <v>685</v>
      </c>
      <c r="G802" s="161">
        <v>1</v>
      </c>
      <c r="M802" s="161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14">
        <v>45668</v>
      </c>
      <c r="C803" s="117" t="s">
        <v>638</v>
      </c>
      <c r="D803" s="3" t="str">
        <f>VLOOKUP(C803,'Location Summary'!$C$4:$D$602,2,0)</f>
        <v>DA+9</v>
      </c>
      <c r="E803" s="270" t="s">
        <v>405</v>
      </c>
      <c r="F803" s="271" t="s">
        <v>685</v>
      </c>
      <c r="I803" s="159">
        <v>1</v>
      </c>
      <c r="L803" s="159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14">
        <v>45668</v>
      </c>
      <c r="C804" s="117" t="s">
        <v>443</v>
      </c>
      <c r="D804" s="3" t="str">
        <f>VLOOKUP(C804,'Location Summary'!$C$4:$D$602,2,0)</f>
        <v>DA+3</v>
      </c>
      <c r="E804" s="270" t="s">
        <v>405</v>
      </c>
      <c r="F804" s="271" t="s">
        <v>685</v>
      </c>
      <c r="G804" s="161">
        <v>1</v>
      </c>
      <c r="P804" s="161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14">
        <v>45669</v>
      </c>
      <c r="C805" s="117" t="s">
        <v>638</v>
      </c>
      <c r="D805" s="3" t="str">
        <f>VLOOKUP(C805,'Location Summary'!$C$4:$D$602,2,0)</f>
        <v>DA+9</v>
      </c>
      <c r="E805" s="270" t="s">
        <v>405</v>
      </c>
      <c r="F805" s="271" t="s">
        <v>685</v>
      </c>
      <c r="M805" s="161">
        <v>1</v>
      </c>
      <c r="Q805" s="160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14">
        <v>45669</v>
      </c>
      <c r="C806" s="117" t="s">
        <v>262</v>
      </c>
      <c r="D806" s="3" t="str">
        <f>VLOOKUP(C806,'Location Summary'!$C$4:$D$602,2,0)</f>
        <v>DB1+0</v>
      </c>
      <c r="E806" s="270" t="s">
        <v>405</v>
      </c>
      <c r="F806" s="271" t="s">
        <v>685</v>
      </c>
      <c r="G806" s="161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14">
        <v>45669</v>
      </c>
      <c r="C807" s="117" t="s">
        <v>443</v>
      </c>
      <c r="D807" s="3" t="str">
        <f>VLOOKUP(C807,'Location Summary'!$C$4:$D$602,2,0)</f>
        <v>DA+3</v>
      </c>
      <c r="E807" s="270" t="s">
        <v>405</v>
      </c>
      <c r="F807" s="271" t="s">
        <v>685</v>
      </c>
      <c r="H807" s="160">
        <v>1</v>
      </c>
      <c r="I807" s="159">
        <v>1</v>
      </c>
      <c r="J807" s="161">
        <v>1</v>
      </c>
      <c r="M807" s="161">
        <v>1</v>
      </c>
      <c r="Q807" s="160">
        <v>1</v>
      </c>
      <c r="R807" s="159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14">
        <v>45669</v>
      </c>
      <c r="C808" s="117" t="s">
        <v>395</v>
      </c>
      <c r="D808" s="3" t="str">
        <f>VLOOKUP(C808,'Location Summary'!$C$4:$D$602,2,0)</f>
        <v>DA+6</v>
      </c>
      <c r="E808" s="270" t="s">
        <v>405</v>
      </c>
      <c r="F808" s="271" t="s">
        <v>685</v>
      </c>
      <c r="G808" s="161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14">
        <v>45669</v>
      </c>
      <c r="C809" s="117" t="s">
        <v>172</v>
      </c>
      <c r="D809" s="3" t="str">
        <f>VLOOKUP(C809,'Location Summary'!$C$4:$D$602,2,0)</f>
        <v>DA+9</v>
      </c>
      <c r="E809" s="270" t="s">
        <v>405</v>
      </c>
      <c r="F809" s="271" t="s">
        <v>685</v>
      </c>
      <c r="H809" s="160">
        <v>1</v>
      </c>
      <c r="I809" s="159">
        <v>1</v>
      </c>
      <c r="J809" s="161">
        <v>1</v>
      </c>
      <c r="N809" s="160">
        <v>1</v>
      </c>
      <c r="O809" s="159">
        <v>1</v>
      </c>
      <c r="P809" s="161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14">
        <v>45670</v>
      </c>
      <c r="C810" s="117" t="s">
        <v>638</v>
      </c>
      <c r="D810" s="3" t="str">
        <f>VLOOKUP(C810,'Location Summary'!$C$4:$D$602,2,0)</f>
        <v>DA+9</v>
      </c>
      <c r="E810" s="270" t="s">
        <v>405</v>
      </c>
      <c r="F810" s="271" t="s">
        <v>311</v>
      </c>
      <c r="N810" s="160">
        <v>1</v>
      </c>
      <c r="O810" s="159">
        <v>1</v>
      </c>
      <c r="R810" s="159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14">
        <v>45670</v>
      </c>
      <c r="C811" s="117" t="s">
        <v>262</v>
      </c>
      <c r="D811" s="3" t="str">
        <f>VLOOKUP(C811,'Location Summary'!$C$4:$D$602,2,0)</f>
        <v>DB1+0</v>
      </c>
      <c r="E811" s="270" t="s">
        <v>405</v>
      </c>
      <c r="F811" s="271" t="s">
        <v>685</v>
      </c>
      <c r="H811" s="160">
        <v>1</v>
      </c>
      <c r="I811" s="159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14">
        <v>45670</v>
      </c>
      <c r="C812" s="117" t="s">
        <v>443</v>
      </c>
      <c r="D812" s="3" t="str">
        <f>VLOOKUP(C812,'Location Summary'!$C$4:$D$602,2,0)</f>
        <v>DA+3</v>
      </c>
      <c r="E812" s="270" t="s">
        <v>405</v>
      </c>
      <c r="F812" s="271" t="s">
        <v>685</v>
      </c>
      <c r="K812" s="160">
        <v>1</v>
      </c>
      <c r="L812" s="159">
        <v>1</v>
      </c>
      <c r="N812" s="160">
        <v>1</v>
      </c>
      <c r="O812" s="159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14">
        <v>45670</v>
      </c>
      <c r="C813" s="117" t="s">
        <v>395</v>
      </c>
      <c r="D813" s="3" t="str">
        <f>VLOOKUP(C813,'Location Summary'!$C$4:$D$602,2,0)</f>
        <v>DA+6</v>
      </c>
      <c r="E813" s="270" t="s">
        <v>405</v>
      </c>
      <c r="F813" s="271" t="s">
        <v>685</v>
      </c>
      <c r="M813" s="161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4">
        <v>45670</v>
      </c>
      <c r="C814" s="117" t="s">
        <v>172</v>
      </c>
      <c r="D814" s="3" t="str">
        <f>VLOOKUP(C814,'Location Summary'!$C$4:$D$602,2,0)</f>
        <v>DA+9</v>
      </c>
      <c r="E814" s="270" t="s">
        <v>405</v>
      </c>
      <c r="F814" s="271" t="s">
        <v>685</v>
      </c>
      <c r="K814" s="160">
        <v>1</v>
      </c>
      <c r="L814" s="159">
        <v>1</v>
      </c>
      <c r="Q814" s="160">
        <v>1</v>
      </c>
      <c r="R814" s="159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14">
        <v>45670</v>
      </c>
      <c r="C815" s="117" t="s">
        <v>55</v>
      </c>
      <c r="D815" s="3" t="str">
        <f>VLOOKUP(C815,'Location Summary'!$C$4:$D$602,2,0)</f>
        <v>DC2+15</v>
      </c>
      <c r="E815" s="270" t="s">
        <v>405</v>
      </c>
      <c r="F815" s="271" t="s">
        <v>685</v>
      </c>
      <c r="H815" s="160">
        <v>1</v>
      </c>
      <c r="M815" s="161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14">
        <v>45670</v>
      </c>
      <c r="C816" s="117" t="s">
        <v>626</v>
      </c>
      <c r="D816" s="3" t="str">
        <f>VLOOKUP(C816,'Location Summary'!$C$4:$D$602,2,0)</f>
        <v>DA+3</v>
      </c>
      <c r="E816" s="270" t="s">
        <v>405</v>
      </c>
      <c r="F816" s="271" t="s">
        <v>685</v>
      </c>
      <c r="G816" s="161">
        <v>1</v>
      </c>
      <c r="J816" s="161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14">
        <v>45671</v>
      </c>
      <c r="C817" s="117" t="s">
        <v>640</v>
      </c>
      <c r="D817" s="3" t="str">
        <f>VLOOKUP(C817,'Location Summary'!$C$4:$D$602,2,0)</f>
        <v>DB1+9</v>
      </c>
      <c r="E817" s="270" t="s">
        <v>405</v>
      </c>
      <c r="F817" s="271" t="s">
        <v>685</v>
      </c>
      <c r="M817" s="161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14">
        <v>45671</v>
      </c>
      <c r="C818" s="117" t="s">
        <v>55</v>
      </c>
      <c r="D818" s="3" t="str">
        <f>VLOOKUP(C818,'Location Summary'!$C$4:$D$602,2,0)</f>
        <v>DC2+15</v>
      </c>
      <c r="E818" s="270" t="s">
        <v>405</v>
      </c>
      <c r="F818" s="271" t="s">
        <v>685</v>
      </c>
      <c r="I818" s="159">
        <v>1</v>
      </c>
      <c r="N818" s="160">
        <v>1</v>
      </c>
      <c r="P818" s="161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14">
        <v>45671</v>
      </c>
      <c r="C819" s="117" t="s">
        <v>626</v>
      </c>
      <c r="D819" s="3" t="str">
        <f>VLOOKUP(C819,'Location Summary'!$C$4:$D$602,2,0)</f>
        <v>DA+3</v>
      </c>
      <c r="E819" s="270" t="s">
        <v>405</v>
      </c>
      <c r="F819" s="271" t="s">
        <v>685</v>
      </c>
      <c r="H819" s="160">
        <v>1</v>
      </c>
      <c r="J819" s="161">
        <v>1</v>
      </c>
      <c r="K819" s="160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14">
        <v>45672</v>
      </c>
      <c r="C820" s="117" t="s">
        <v>640</v>
      </c>
      <c r="D820" s="3" t="str">
        <f>VLOOKUP(C820,'Location Summary'!$C$4:$D$602,2,0)</f>
        <v>DB1+9</v>
      </c>
      <c r="E820" s="270" t="s">
        <v>405</v>
      </c>
      <c r="F820" s="271" t="s">
        <v>685</v>
      </c>
      <c r="N820" s="160">
        <v>1</v>
      </c>
      <c r="O820" s="159">
        <v>1</v>
      </c>
      <c r="P820" s="161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14">
        <v>45672</v>
      </c>
      <c r="C821" s="117" t="s">
        <v>444</v>
      </c>
      <c r="D821" s="3" t="str">
        <f>VLOOKUP(C821,'Location Summary'!$C$4:$D$602,2,0)</f>
        <v>DA-3</v>
      </c>
      <c r="E821" s="270" t="s">
        <v>405</v>
      </c>
      <c r="F821" s="271" t="s">
        <v>685</v>
      </c>
      <c r="G821" s="161">
        <v>1</v>
      </c>
      <c r="J821" s="161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14">
        <v>45672</v>
      </c>
      <c r="C822" s="117" t="s">
        <v>55</v>
      </c>
      <c r="D822" s="3" t="str">
        <f>VLOOKUP(C822,'Location Summary'!$C$4:$D$602,2,0)</f>
        <v>DC2+15</v>
      </c>
      <c r="E822" s="270" t="s">
        <v>405</v>
      </c>
      <c r="F822" s="271" t="s">
        <v>685</v>
      </c>
      <c r="O822" s="159">
        <v>1</v>
      </c>
      <c r="Q822" s="160">
        <v>1</v>
      </c>
      <c r="R822" s="159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14">
        <v>45672</v>
      </c>
      <c r="C823" s="117" t="s">
        <v>75</v>
      </c>
      <c r="D823" s="3" t="str">
        <f>VLOOKUP(C823,'Location Summary'!$C$4:$D$602,2,0)</f>
        <v>DB1+9</v>
      </c>
      <c r="E823" s="270" t="s">
        <v>405</v>
      </c>
      <c r="F823" s="271" t="s">
        <v>685</v>
      </c>
      <c r="M823" s="161">
        <v>1</v>
      </c>
      <c r="P823" s="161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14">
        <v>45673</v>
      </c>
      <c r="C824" s="117" t="s">
        <v>640</v>
      </c>
      <c r="D824" s="3" t="str">
        <f>VLOOKUP(C824,'Location Summary'!$C$4:$D$602,2,0)</f>
        <v>DB1+9</v>
      </c>
      <c r="E824" s="270" t="s">
        <v>405</v>
      </c>
      <c r="F824" s="271" t="s">
        <v>685</v>
      </c>
      <c r="J824" s="161">
        <v>1</v>
      </c>
      <c r="Q824" s="160">
        <v>1</v>
      </c>
      <c r="R824" s="159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14">
        <v>45673</v>
      </c>
      <c r="C825" s="117" t="s">
        <v>444</v>
      </c>
      <c r="D825" s="3" t="str">
        <f>VLOOKUP(C825,'Location Summary'!$C$4:$D$602,2,0)</f>
        <v>DA-3</v>
      </c>
      <c r="E825" s="270" t="s">
        <v>405</v>
      </c>
      <c r="F825" s="271" t="s">
        <v>685</v>
      </c>
      <c r="H825" s="160">
        <v>1</v>
      </c>
      <c r="I825" s="159">
        <v>1</v>
      </c>
      <c r="K825" s="160">
        <v>1</v>
      </c>
      <c r="L825" s="159">
        <v>1</v>
      </c>
      <c r="M825" s="161">
        <v>1</v>
      </c>
      <c r="P825" s="161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14">
        <v>45673</v>
      </c>
      <c r="C826" s="117" t="s">
        <v>56</v>
      </c>
      <c r="D826" s="3" t="str">
        <f>VLOOKUP(C826,'Location Summary'!$C$4:$D$602,2,0)</f>
        <v>DB2+9</v>
      </c>
      <c r="E826" s="270" t="s">
        <v>405</v>
      </c>
      <c r="F826" s="271" t="s">
        <v>685</v>
      </c>
      <c r="G826" s="161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14">
        <v>45673</v>
      </c>
      <c r="C827" s="117" t="s">
        <v>626</v>
      </c>
      <c r="D827" s="3" t="str">
        <f>VLOOKUP(C827,'Location Summary'!$C$4:$D$602,2,0)</f>
        <v>DA+3</v>
      </c>
      <c r="E827" s="270" t="s">
        <v>405</v>
      </c>
      <c r="F827" s="271" t="s">
        <v>685</v>
      </c>
      <c r="I827" s="159">
        <v>1</v>
      </c>
      <c r="L827" s="159">
        <v>1</v>
      </c>
      <c r="M827" s="161">
        <v>1</v>
      </c>
      <c r="P827" s="161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14">
        <v>45673</v>
      </c>
      <c r="C828" s="117" t="s">
        <v>75</v>
      </c>
      <c r="D828" s="3" t="str">
        <f>VLOOKUP(C828,'Location Summary'!$C$4:$D$602,2,0)</f>
        <v>DB1+9</v>
      </c>
      <c r="E828" s="270" t="s">
        <v>405</v>
      </c>
      <c r="F828" s="271" t="s">
        <v>685</v>
      </c>
      <c r="N828" s="160">
        <v>1</v>
      </c>
      <c r="O828" s="159">
        <v>1</v>
      </c>
      <c r="Q828" s="160">
        <v>1</v>
      </c>
      <c r="R828" s="159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14">
        <v>45674</v>
      </c>
      <c r="C829" s="117" t="s">
        <v>640</v>
      </c>
      <c r="D829" s="3" t="str">
        <f>VLOOKUP(C829,'Location Summary'!$C$4:$D$602,2,0)</f>
        <v>DB1+9</v>
      </c>
      <c r="E829" s="270" t="s">
        <v>405</v>
      </c>
      <c r="F829" s="271" t="s">
        <v>685</v>
      </c>
      <c r="K829" s="160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14">
        <v>45674</v>
      </c>
      <c r="C830" s="117" t="s">
        <v>264</v>
      </c>
      <c r="D830" s="3" t="str">
        <f>VLOOKUP(C830,'Location Summary'!$C$4:$D$602,2,0)</f>
        <v>DB1+6</v>
      </c>
      <c r="E830" s="270" t="s">
        <v>405</v>
      </c>
      <c r="F830" s="271" t="s">
        <v>685</v>
      </c>
      <c r="G830" s="161">
        <v>1</v>
      </c>
      <c r="P830" s="161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4">
        <v>45674</v>
      </c>
      <c r="C831" s="117" t="s">
        <v>56</v>
      </c>
      <c r="D831" s="3" t="str">
        <f>VLOOKUP(C831,'Location Summary'!$C$4:$D$602,2,0)</f>
        <v>DB2+9</v>
      </c>
      <c r="E831" s="270" t="s">
        <v>405</v>
      </c>
      <c r="F831" s="271" t="s">
        <v>685</v>
      </c>
      <c r="H831" s="160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14">
        <v>45674</v>
      </c>
      <c r="C832" s="117" t="s">
        <v>75</v>
      </c>
      <c r="D832" s="3" t="str">
        <f>VLOOKUP(C832,'Location Summary'!$C$4:$D$602,2,0)</f>
        <v>DB1+9</v>
      </c>
      <c r="E832" s="270" t="s">
        <v>405</v>
      </c>
      <c r="F832" s="271" t="s">
        <v>685</v>
      </c>
      <c r="G832" s="161">
        <v>1</v>
      </c>
      <c r="J832" s="161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14">
        <v>45674</v>
      </c>
      <c r="C833" s="117" t="s">
        <v>444</v>
      </c>
      <c r="D833" s="3" t="str">
        <f>VLOOKUP(C833,'Location Summary'!$C$4:$D$602,2,0)</f>
        <v>DA-3</v>
      </c>
      <c r="E833" s="270" t="s">
        <v>405</v>
      </c>
      <c r="F833" s="271" t="s">
        <v>685</v>
      </c>
      <c r="N833" s="160">
        <v>1</v>
      </c>
      <c r="O833" s="159">
        <v>1</v>
      </c>
      <c r="Q833" s="160">
        <v>1</v>
      </c>
      <c r="R833" s="159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14">
        <v>45674</v>
      </c>
      <c r="C834" s="117" t="s">
        <v>395</v>
      </c>
      <c r="D834" s="3" t="str">
        <f>VLOOKUP(C834,'Location Summary'!$C$4:$D$602,2,0)</f>
        <v>DA+6</v>
      </c>
      <c r="E834" s="270" t="s">
        <v>405</v>
      </c>
      <c r="F834" s="271" t="s">
        <v>685</v>
      </c>
      <c r="H834" s="160">
        <v>1</v>
      </c>
      <c r="N834" s="160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14">
        <v>45674</v>
      </c>
      <c r="C835" s="117" t="s">
        <v>626</v>
      </c>
      <c r="D835" s="3" t="str">
        <f>VLOOKUP(C835,'Location Summary'!$C$4:$D$602,2,0)</f>
        <v>DA+3</v>
      </c>
      <c r="E835" s="270" t="s">
        <v>405</v>
      </c>
      <c r="F835" s="271" t="s">
        <v>685</v>
      </c>
      <c r="N835" s="160">
        <v>1</v>
      </c>
      <c r="O835" s="159">
        <v>1</v>
      </c>
      <c r="Q835" s="160">
        <v>1</v>
      </c>
      <c r="R835" s="159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14">
        <v>45674</v>
      </c>
      <c r="C836" s="117" t="s">
        <v>650</v>
      </c>
      <c r="D836" s="3" t="str">
        <f>VLOOKUP(C836,'Location Summary'!$C$4:$D$602,2,0)</f>
        <v>DA+0</v>
      </c>
      <c r="E836" s="270" t="s">
        <v>405</v>
      </c>
      <c r="F836" s="271" t="s">
        <v>685</v>
      </c>
      <c r="G836" s="161">
        <v>1</v>
      </c>
      <c r="J836" s="161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14">
        <v>45675</v>
      </c>
      <c r="C837" s="117" t="s">
        <v>640</v>
      </c>
      <c r="D837" s="3" t="str">
        <f>VLOOKUP(C837,'Location Summary'!$C$4:$D$602,2,0)</f>
        <v>DB1+9</v>
      </c>
      <c r="E837" s="270" t="s">
        <v>405</v>
      </c>
      <c r="F837" s="271" t="s">
        <v>685</v>
      </c>
      <c r="L837" s="159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14">
        <v>45675</v>
      </c>
      <c r="C838" s="117" t="s">
        <v>264</v>
      </c>
      <c r="D838" s="3" t="str">
        <f>VLOOKUP(C838,'Location Summary'!$C$4:$D$602,2,0)</f>
        <v>DB1+6</v>
      </c>
      <c r="E838" s="270" t="s">
        <v>405</v>
      </c>
      <c r="F838" s="271" t="s">
        <v>685</v>
      </c>
      <c r="H838" s="160">
        <v>1</v>
      </c>
      <c r="I838" s="159">
        <v>1</v>
      </c>
      <c r="Q838" s="160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14">
        <v>45675</v>
      </c>
      <c r="C839" s="117" t="s">
        <v>56</v>
      </c>
      <c r="D839" s="3" t="str">
        <f>VLOOKUP(C839,'Location Summary'!$C$4:$D$602,2,0)</f>
        <v>DB2+9</v>
      </c>
      <c r="E839" s="270" t="s">
        <v>405</v>
      </c>
      <c r="F839" s="271" t="s">
        <v>685</v>
      </c>
      <c r="I839" s="159">
        <v>1</v>
      </c>
      <c r="J839" s="161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14">
        <v>45675</v>
      </c>
      <c r="C840" s="117" t="s">
        <v>395</v>
      </c>
      <c r="D840" s="3" t="str">
        <f>VLOOKUP(C840,'Location Summary'!$C$4:$D$602,2,0)</f>
        <v>DA+6</v>
      </c>
      <c r="E840" s="270" t="s">
        <v>405</v>
      </c>
      <c r="F840" s="271" t="s">
        <v>685</v>
      </c>
      <c r="I840" s="159">
        <v>1</v>
      </c>
      <c r="O840" s="159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14">
        <v>45675</v>
      </c>
      <c r="C841" s="117" t="s">
        <v>75</v>
      </c>
      <c r="D841" s="3" t="str">
        <f>VLOOKUP(C841,'Location Summary'!$C$4:$D$602,2,0)</f>
        <v>DB1+9</v>
      </c>
      <c r="E841" s="270" t="s">
        <v>405</v>
      </c>
      <c r="F841" s="271" t="s">
        <v>685</v>
      </c>
      <c r="H841" s="160">
        <v>1</v>
      </c>
      <c r="I841" s="159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14">
        <v>45676</v>
      </c>
      <c r="C842" s="117" t="s">
        <v>640</v>
      </c>
      <c r="D842" s="3" t="str">
        <f>VLOOKUP(C842,'Location Summary'!$C$4:$D$602,2,0)</f>
        <v>DB1+9</v>
      </c>
      <c r="E842" s="270" t="s">
        <v>405</v>
      </c>
      <c r="F842" s="271" t="s">
        <v>685</v>
      </c>
      <c r="G842" s="161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14">
        <v>45676</v>
      </c>
      <c r="C843" s="117" t="s">
        <v>264</v>
      </c>
      <c r="D843" s="3" t="str">
        <f>VLOOKUP(C843,'Location Summary'!$C$4:$D$602,2,0)</f>
        <v>DB1+6</v>
      </c>
      <c r="E843" s="270" t="s">
        <v>405</v>
      </c>
      <c r="F843" s="271" t="s">
        <v>685</v>
      </c>
      <c r="J843" s="161">
        <v>1</v>
      </c>
      <c r="R843" s="159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14">
        <v>45676</v>
      </c>
      <c r="C844" s="117" t="s">
        <v>445</v>
      </c>
      <c r="D844" s="3" t="str">
        <f>VLOOKUP(C844,'Location Summary'!$C$4:$D$602,2,0)</f>
        <v>DA+3</v>
      </c>
      <c r="E844" s="270" t="s">
        <v>405</v>
      </c>
      <c r="F844" s="271" t="s">
        <v>685</v>
      </c>
      <c r="J844" s="161">
        <v>1</v>
      </c>
      <c r="M844" s="161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14">
        <v>45676</v>
      </c>
      <c r="C845" s="117" t="s">
        <v>56</v>
      </c>
      <c r="D845" s="3" t="str">
        <f>VLOOKUP(C845,'Location Summary'!$C$4:$D$602,2,0)</f>
        <v>DB2+9</v>
      </c>
      <c r="E845" s="270" t="s">
        <v>405</v>
      </c>
      <c r="F845" s="271" t="s">
        <v>685</v>
      </c>
      <c r="K845" s="160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14">
        <v>45676</v>
      </c>
      <c r="C846" s="117" t="s">
        <v>627</v>
      </c>
      <c r="D846" s="3" t="str">
        <f>VLOOKUP(C846,'Location Summary'!$C$4:$D$602,2,0)</f>
        <v>DA+1.5</v>
      </c>
      <c r="E846" s="270" t="s">
        <v>405</v>
      </c>
      <c r="F846" s="271" t="s">
        <v>685</v>
      </c>
      <c r="G846" s="161">
        <v>1</v>
      </c>
      <c r="J846" s="161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14">
        <v>45676</v>
      </c>
      <c r="C847" s="117" t="s">
        <v>75</v>
      </c>
      <c r="D847" s="3" t="str">
        <f>VLOOKUP(C847,'Location Summary'!$C$4:$D$602,2,0)</f>
        <v>DB1+9</v>
      </c>
      <c r="E847" s="270" t="s">
        <v>405</v>
      </c>
      <c r="F847" s="271" t="s">
        <v>685</v>
      </c>
      <c r="K847" s="160">
        <v>1</v>
      </c>
      <c r="L847" s="159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14">
        <v>45676</v>
      </c>
      <c r="C848" s="117" t="s">
        <v>650</v>
      </c>
      <c r="D848" s="3" t="str">
        <f>VLOOKUP(C848,'Location Summary'!$C$4:$D$602,2,0)</f>
        <v>DA+0</v>
      </c>
      <c r="E848" s="270" t="s">
        <v>405</v>
      </c>
      <c r="F848" s="271" t="s">
        <v>685</v>
      </c>
      <c r="H848" s="160">
        <v>1</v>
      </c>
      <c r="I848" s="159">
        <v>1</v>
      </c>
      <c r="K848" s="160">
        <v>1</v>
      </c>
      <c r="L848" s="159">
        <v>1</v>
      </c>
      <c r="M848" s="161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14">
        <v>45677</v>
      </c>
      <c r="C849" s="117" t="s">
        <v>640</v>
      </c>
      <c r="D849" s="3" t="str">
        <f>VLOOKUP(C849,'Location Summary'!$C$4:$D$602,2,0)</f>
        <v>DB1+9</v>
      </c>
      <c r="E849" s="270" t="s">
        <v>405</v>
      </c>
      <c r="F849" s="271" t="s">
        <v>685</v>
      </c>
      <c r="H849" s="160">
        <v>1</v>
      </c>
      <c r="I849" s="159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14">
        <v>45677</v>
      </c>
      <c r="C850" s="117" t="s">
        <v>264</v>
      </c>
      <c r="D850" s="3" t="str">
        <f>VLOOKUP(C850,'Location Summary'!$C$4:$D$602,2,0)</f>
        <v>DB1+6</v>
      </c>
      <c r="E850" s="270" t="s">
        <v>405</v>
      </c>
      <c r="F850" s="271" t="s">
        <v>685</v>
      </c>
      <c r="K850" s="160">
        <v>1</v>
      </c>
      <c r="L850" s="159">
        <v>1</v>
      </c>
      <c r="M850" s="161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14">
        <v>45677</v>
      </c>
      <c r="C851" s="117" t="s">
        <v>445</v>
      </c>
      <c r="D851" s="3" t="str">
        <f>VLOOKUP(C851,'Location Summary'!$C$4:$D$602,2,0)</f>
        <v>DA+3</v>
      </c>
      <c r="E851" s="270" t="s">
        <v>405</v>
      </c>
      <c r="F851" s="271" t="s">
        <v>685</v>
      </c>
      <c r="G851" s="161">
        <v>1</v>
      </c>
      <c r="K851" s="160">
        <v>1</v>
      </c>
      <c r="L851" s="159">
        <v>1</v>
      </c>
      <c r="N851" s="160">
        <v>1</v>
      </c>
      <c r="O851" s="159">
        <v>1</v>
      </c>
      <c r="P851" s="161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14">
        <v>45677</v>
      </c>
      <c r="C852" s="117" t="s">
        <v>56</v>
      </c>
      <c r="D852" s="3" t="str">
        <f>VLOOKUP(C852,'Location Summary'!$C$4:$D$602,2,0)</f>
        <v>DB2+9</v>
      </c>
      <c r="E852" s="270" t="s">
        <v>405</v>
      </c>
      <c r="F852" s="271" t="s">
        <v>685</v>
      </c>
      <c r="L852" s="159">
        <v>1</v>
      </c>
      <c r="P852" s="161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14">
        <v>45677</v>
      </c>
      <c r="C853" s="117" t="s">
        <v>395</v>
      </c>
      <c r="D853" s="3" t="str">
        <f>VLOOKUP(C853,'Location Summary'!$C$4:$D$602,2,0)</f>
        <v>DA+6</v>
      </c>
      <c r="E853" s="270" t="s">
        <v>405</v>
      </c>
      <c r="F853" s="271" t="s">
        <v>685</v>
      </c>
      <c r="J853" s="161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14">
        <v>45677</v>
      </c>
      <c r="C854" s="117" t="s">
        <v>650</v>
      </c>
      <c r="D854" s="3" t="str">
        <f>VLOOKUP(C854,'Location Summary'!$C$4:$D$602,2,0)</f>
        <v>DA+0</v>
      </c>
      <c r="E854" s="270" t="s">
        <v>405</v>
      </c>
      <c r="F854" s="271" t="s">
        <v>685</v>
      </c>
      <c r="P854" s="161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14">
        <v>45678</v>
      </c>
      <c r="C855" s="117" t="s">
        <v>646</v>
      </c>
      <c r="D855" s="3" t="str">
        <f>VLOOKUP(C855,'Location Summary'!$C$4:$D$602,2,0)</f>
        <v>DA-1.5</v>
      </c>
      <c r="E855" s="270" t="s">
        <v>405</v>
      </c>
      <c r="F855" s="271" t="s">
        <v>685</v>
      </c>
      <c r="J855" s="161">
        <v>1</v>
      </c>
      <c r="P855" s="161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14">
        <v>45678</v>
      </c>
      <c r="C856" s="117" t="s">
        <v>264</v>
      </c>
      <c r="D856" s="3" t="str">
        <f>VLOOKUP(C856,'Location Summary'!$C$4:$D$602,2,0)</f>
        <v>DB1+6</v>
      </c>
      <c r="E856" s="270" t="s">
        <v>405</v>
      </c>
      <c r="F856" s="271" t="s">
        <v>685</v>
      </c>
      <c r="N856" s="160">
        <v>1</v>
      </c>
      <c r="O856" s="159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14">
        <v>45678</v>
      </c>
      <c r="C857" s="117" t="s">
        <v>445</v>
      </c>
      <c r="D857" s="3" t="str">
        <f>VLOOKUP(C857,'Location Summary'!$C$4:$D$602,2,0)</f>
        <v>DA+3</v>
      </c>
      <c r="E857" s="270" t="s">
        <v>405</v>
      </c>
      <c r="F857" s="271" t="s">
        <v>685</v>
      </c>
      <c r="H857" s="160">
        <v>1</v>
      </c>
      <c r="I857" s="159">
        <v>1</v>
      </c>
      <c r="Q857" s="160">
        <v>1</v>
      </c>
      <c r="R857" s="159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14">
        <v>45678</v>
      </c>
      <c r="C858" s="117" t="s">
        <v>56</v>
      </c>
      <c r="D858" s="3" t="str">
        <f>VLOOKUP(C858,'Location Summary'!$C$4:$D$602,2,0)</f>
        <v>DB2+9</v>
      </c>
      <c r="E858" s="270" t="s">
        <v>405</v>
      </c>
      <c r="F858" s="271" t="s">
        <v>685</v>
      </c>
      <c r="M858" s="161">
        <v>1</v>
      </c>
      <c r="Q858" s="160">
        <v>1</v>
      </c>
      <c r="R858" s="159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4">
        <v>45678</v>
      </c>
      <c r="C859" s="117" t="s">
        <v>395</v>
      </c>
      <c r="D859" s="3" t="str">
        <f>VLOOKUP(C859,'Location Summary'!$C$4:$D$602,2,0)</f>
        <v>DA+6</v>
      </c>
      <c r="E859" s="270" t="s">
        <v>405</v>
      </c>
      <c r="F859" s="271" t="s">
        <v>685</v>
      </c>
      <c r="K859" s="160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14">
        <v>45678</v>
      </c>
      <c r="C860" s="117" t="s">
        <v>650</v>
      </c>
      <c r="D860" s="3" t="str">
        <f>VLOOKUP(C860,'Location Summary'!$C$4:$D$602,2,0)</f>
        <v>DA+0</v>
      </c>
      <c r="E860" s="270" t="s">
        <v>405</v>
      </c>
      <c r="F860" s="271" t="s">
        <v>685</v>
      </c>
      <c r="N860" s="160">
        <v>1</v>
      </c>
      <c r="O860" s="159">
        <v>1</v>
      </c>
      <c r="Q860" s="160">
        <v>1</v>
      </c>
      <c r="R860" s="159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14">
        <v>45679</v>
      </c>
      <c r="C861" s="117" t="s">
        <v>646</v>
      </c>
      <c r="D861" s="3" t="str">
        <f>VLOOKUP(C861,'Location Summary'!$C$4:$D$602,2,0)</f>
        <v>DA-1.5</v>
      </c>
      <c r="E861" s="270" t="s">
        <v>405</v>
      </c>
      <c r="F861" s="271" t="s">
        <v>685</v>
      </c>
      <c r="G861" s="161">
        <v>1</v>
      </c>
      <c r="K861" s="160">
        <v>1</v>
      </c>
      <c r="L861" s="159">
        <v>1</v>
      </c>
      <c r="M861" s="161">
        <v>1</v>
      </c>
      <c r="Q861" s="160">
        <v>1</v>
      </c>
      <c r="R861" s="159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14">
        <v>45679</v>
      </c>
      <c r="C862" s="117" t="s">
        <v>56</v>
      </c>
      <c r="D862" s="3" t="str">
        <f>VLOOKUP(C862,'Location Summary'!$C$4:$D$602,2,0)</f>
        <v>DB2+9</v>
      </c>
      <c r="E862" s="270" t="s">
        <v>405</v>
      </c>
      <c r="F862" s="271" t="s">
        <v>685</v>
      </c>
      <c r="N862" s="160">
        <v>1</v>
      </c>
      <c r="O862" s="159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14">
        <v>45679</v>
      </c>
      <c r="C863" s="117" t="s">
        <v>627</v>
      </c>
      <c r="D863" s="3" t="str">
        <f>VLOOKUP(C863,'Location Summary'!$C$4:$D$602,2,0)</f>
        <v>DA+1.5</v>
      </c>
      <c r="E863" s="270" t="s">
        <v>405</v>
      </c>
      <c r="F863" s="271" t="s">
        <v>685</v>
      </c>
      <c r="H863" s="160">
        <v>1</v>
      </c>
      <c r="I863" s="159">
        <v>1</v>
      </c>
      <c r="K863" s="160">
        <v>1</v>
      </c>
      <c r="L863" s="159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14">
        <v>45679</v>
      </c>
      <c r="C864" s="117" t="s">
        <v>78</v>
      </c>
      <c r="D864" s="3" t="str">
        <f>VLOOKUP(C864,'Location Summary'!$C$4:$D$602,2,0)</f>
        <v>DB1+0</v>
      </c>
      <c r="E864" s="270" t="s">
        <v>405</v>
      </c>
      <c r="F864" s="271" t="s">
        <v>685</v>
      </c>
      <c r="M864" s="161">
        <v>1</v>
      </c>
      <c r="P864" s="161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14">
        <v>45680</v>
      </c>
      <c r="C865" s="117" t="s">
        <v>646</v>
      </c>
      <c r="D865" s="3" t="str">
        <f>VLOOKUP(C865,'Location Summary'!$C$4:$D$602,2,0)</f>
        <v>DA-1.5</v>
      </c>
      <c r="E865" s="270" t="s">
        <v>405</v>
      </c>
      <c r="F865" s="271" t="s">
        <v>685</v>
      </c>
      <c r="H865" s="160">
        <v>1</v>
      </c>
      <c r="I865" s="159">
        <v>1</v>
      </c>
      <c r="N865" s="160">
        <v>1</v>
      </c>
      <c r="O865" s="159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14">
        <v>45680</v>
      </c>
      <c r="C866" s="117" t="s">
        <v>308</v>
      </c>
      <c r="D866" s="3" t="str">
        <f>VLOOKUP(C866,'Location Summary'!$C$4:$D$602,2,0)</f>
        <v>DA+6</v>
      </c>
      <c r="E866" s="270" t="s">
        <v>405</v>
      </c>
      <c r="F866" s="271" t="s">
        <v>685</v>
      </c>
      <c r="J866" s="161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14">
        <v>45680</v>
      </c>
      <c r="C867" s="117" t="s">
        <v>9</v>
      </c>
      <c r="D867" s="3" t="str">
        <f>VLOOKUP(C867,'Location Summary'!$C$4:$D$602,2,0)</f>
        <v>DB1+0</v>
      </c>
      <c r="E867" s="270" t="s">
        <v>405</v>
      </c>
      <c r="F867" s="271" t="s">
        <v>685</v>
      </c>
      <c r="G867" s="161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14">
        <v>45680</v>
      </c>
      <c r="C868" s="117" t="s">
        <v>395</v>
      </c>
      <c r="D868" s="3" t="str">
        <f>VLOOKUP(C868,'Location Summary'!$C$4:$D$602,2,0)</f>
        <v>DA+6</v>
      </c>
      <c r="E868" s="270" t="s">
        <v>405</v>
      </c>
      <c r="F868" s="271" t="s">
        <v>685</v>
      </c>
      <c r="L868" s="159">
        <v>1</v>
      </c>
      <c r="P868" s="161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14">
        <v>45680</v>
      </c>
      <c r="C869" s="117" t="s">
        <v>627</v>
      </c>
      <c r="D869" s="3" t="str">
        <f>VLOOKUP(C869,'Location Summary'!$C$4:$D$602,2,0)</f>
        <v>DA+1.5</v>
      </c>
      <c r="E869" s="270" t="s">
        <v>405</v>
      </c>
      <c r="F869" s="271" t="s">
        <v>685</v>
      </c>
      <c r="M869" s="161">
        <v>1</v>
      </c>
      <c r="P869" s="161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14">
        <v>45680</v>
      </c>
      <c r="C870" s="117" t="s">
        <v>78</v>
      </c>
      <c r="D870" s="3" t="str">
        <f>VLOOKUP(C870,'Location Summary'!$C$4:$D$602,2,0)</f>
        <v>DB1+0</v>
      </c>
      <c r="E870" s="270" t="s">
        <v>405</v>
      </c>
      <c r="F870" s="271" t="s">
        <v>685</v>
      </c>
      <c r="N870" s="160">
        <v>1</v>
      </c>
      <c r="O870" s="159">
        <v>1</v>
      </c>
      <c r="Q870" s="160">
        <v>1</v>
      </c>
      <c r="R870" s="159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14">
        <v>45680</v>
      </c>
      <c r="C871" s="117" t="s">
        <v>651</v>
      </c>
      <c r="D871" s="3" t="str">
        <f>VLOOKUP(C871,'Location Summary'!$C$4:$D$602,2,0)</f>
        <v>DA+9</v>
      </c>
      <c r="E871" s="270" t="s">
        <v>405</v>
      </c>
      <c r="F871" s="271" t="s">
        <v>685</v>
      </c>
      <c r="J871" s="161">
        <v>1</v>
      </c>
      <c r="M871" s="161">
        <v>1</v>
      </c>
      <c r="P871" s="161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14">
        <v>45681</v>
      </c>
      <c r="C872" s="117" t="s">
        <v>308</v>
      </c>
      <c r="D872" s="3" t="str">
        <f>VLOOKUP(C872,'Location Summary'!$C$4:$D$602,2,0)</f>
        <v>DA+6</v>
      </c>
      <c r="E872" s="270" t="s">
        <v>405</v>
      </c>
      <c r="F872" s="271" t="s">
        <v>685</v>
      </c>
      <c r="G872" s="161">
        <v>1</v>
      </c>
      <c r="K872" s="160">
        <v>1</v>
      </c>
      <c r="L872" s="159">
        <v>1</v>
      </c>
      <c r="P872" s="161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14">
        <v>45681</v>
      </c>
      <c r="C873" s="117" t="s">
        <v>9</v>
      </c>
      <c r="D873" s="3" t="str">
        <f>VLOOKUP(C873,'Location Summary'!$C$4:$D$602,2,0)</f>
        <v>DB1+0</v>
      </c>
      <c r="E873" s="270" t="s">
        <v>405</v>
      </c>
      <c r="F873" s="271" t="s">
        <v>685</v>
      </c>
      <c r="H873" s="160">
        <v>1</v>
      </c>
      <c r="I873" s="159">
        <v>1</v>
      </c>
      <c r="P873" s="161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14">
        <v>45681</v>
      </c>
      <c r="C874" s="117" t="s">
        <v>395</v>
      </c>
      <c r="D874" s="3" t="str">
        <f>VLOOKUP(C874,'Location Summary'!$C$4:$D$602,2,0)</f>
        <v>DA+6</v>
      </c>
      <c r="E874" s="270" t="s">
        <v>405</v>
      </c>
      <c r="F874" s="271" t="s">
        <v>685</v>
      </c>
      <c r="Q874" s="160">
        <v>1</v>
      </c>
      <c r="R874" s="159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14">
        <v>45681</v>
      </c>
      <c r="C875" s="117" t="s">
        <v>627</v>
      </c>
      <c r="D875" s="3" t="str">
        <f>VLOOKUP(C875,'Location Summary'!$C$4:$D$602,2,0)</f>
        <v>DA+1.5</v>
      </c>
      <c r="E875" s="270" t="s">
        <v>405</v>
      </c>
      <c r="F875" s="271" t="s">
        <v>685</v>
      </c>
      <c r="N875" s="160">
        <v>1</v>
      </c>
      <c r="O875" s="159">
        <v>1</v>
      </c>
      <c r="Q875" s="160">
        <v>1</v>
      </c>
      <c r="R875" s="159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14">
        <v>45681</v>
      </c>
      <c r="C876" s="117" t="s">
        <v>78</v>
      </c>
      <c r="D876" s="3" t="str">
        <f>VLOOKUP(C876,'Location Summary'!$C$4:$D$602,2,0)</f>
        <v>DB1+0</v>
      </c>
      <c r="E876" s="270" t="s">
        <v>405</v>
      </c>
      <c r="F876" s="271" t="s">
        <v>685</v>
      </c>
      <c r="G876" s="161">
        <v>1</v>
      </c>
      <c r="J876" s="161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14">
        <v>45681</v>
      </c>
      <c r="C877" s="117" t="s">
        <v>651</v>
      </c>
      <c r="D877" s="3" t="str">
        <f>VLOOKUP(C877,'Location Summary'!$C$4:$D$602,2,0)</f>
        <v>DA+9</v>
      </c>
      <c r="E877" s="270" t="s">
        <v>405</v>
      </c>
      <c r="F877" s="271" t="s">
        <v>685</v>
      </c>
      <c r="G877" s="161">
        <v>1</v>
      </c>
      <c r="K877" s="160">
        <v>1</v>
      </c>
      <c r="L877" s="159">
        <v>1</v>
      </c>
      <c r="N877" s="160">
        <v>1</v>
      </c>
      <c r="O877" s="159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14">
        <v>45682</v>
      </c>
      <c r="C878" s="117" t="s">
        <v>647</v>
      </c>
      <c r="D878" s="3" t="str">
        <f>VLOOKUP(C878,'Location Summary'!$C$4:$D$602,2,0)</f>
        <v>DA+0</v>
      </c>
      <c r="E878" s="270" t="s">
        <v>405</v>
      </c>
      <c r="F878" s="271" t="s">
        <v>685</v>
      </c>
      <c r="G878" s="161">
        <v>1</v>
      </c>
      <c r="P878" s="161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14">
        <v>45682</v>
      </c>
      <c r="C879" s="117" t="s">
        <v>308</v>
      </c>
      <c r="D879" s="3" t="str">
        <f>VLOOKUP(C879,'Location Summary'!$C$4:$D$602,2,0)</f>
        <v>DA+6</v>
      </c>
      <c r="E879" s="270" t="s">
        <v>405</v>
      </c>
      <c r="F879" s="271" t="s">
        <v>685</v>
      </c>
      <c r="H879" s="160">
        <v>1</v>
      </c>
      <c r="M879" s="161">
        <v>1</v>
      </c>
      <c r="Q879" s="160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14">
        <v>45682</v>
      </c>
      <c r="C880" s="117" t="s">
        <v>676</v>
      </c>
      <c r="D880" s="3" t="str">
        <f>VLOOKUP(C880,'Location Summary'!$C$4:$D$602,2,0)</f>
        <v>DB1+9</v>
      </c>
      <c r="E880" s="270" t="s">
        <v>405</v>
      </c>
      <c r="F880" s="271" t="s">
        <v>685</v>
      </c>
      <c r="J880" s="161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14">
        <v>45682</v>
      </c>
      <c r="C881" s="117" t="s">
        <v>628</v>
      </c>
      <c r="D881" s="3" t="str">
        <f>VLOOKUP(C881,'Location Summary'!$C$4:$D$602,2,0)</f>
        <v>DA+6</v>
      </c>
      <c r="E881" s="270" t="s">
        <v>405</v>
      </c>
      <c r="F881" s="271" t="s">
        <v>685</v>
      </c>
      <c r="P881" s="161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14">
        <v>45682</v>
      </c>
      <c r="C882" s="117" t="s">
        <v>78</v>
      </c>
      <c r="D882" s="3" t="str">
        <f>VLOOKUP(C882,'Location Summary'!$C$4:$D$602,2,0)</f>
        <v>DB1+0</v>
      </c>
      <c r="E882" s="270" t="s">
        <v>405</v>
      </c>
      <c r="F882" s="271" t="s">
        <v>685</v>
      </c>
      <c r="H882" s="160">
        <v>1</v>
      </c>
      <c r="I882" s="159">
        <v>1</v>
      </c>
      <c r="K882" s="160">
        <v>1</v>
      </c>
      <c r="L882" s="159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14">
        <v>45682</v>
      </c>
      <c r="C883" s="117" t="s">
        <v>651</v>
      </c>
      <c r="D883" s="3" t="str">
        <f>VLOOKUP(C883,'Location Summary'!$C$4:$D$602,2,0)</f>
        <v>DA+9</v>
      </c>
      <c r="E883" s="270" t="s">
        <v>405</v>
      </c>
      <c r="F883" s="271" t="s">
        <v>685</v>
      </c>
      <c r="H883" s="160">
        <v>1</v>
      </c>
      <c r="I883" s="159">
        <v>1</v>
      </c>
      <c r="Q883" s="160">
        <v>1</v>
      </c>
      <c r="R883" s="159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14">
        <v>45684</v>
      </c>
      <c r="C884" s="117" t="s">
        <v>647</v>
      </c>
      <c r="D884" s="3" t="str">
        <f>VLOOKUP(C884,'Location Summary'!$C$4:$D$602,2,0)</f>
        <v>DA+0</v>
      </c>
      <c r="E884" s="270" t="s">
        <v>405</v>
      </c>
      <c r="F884" s="271" t="s">
        <v>685</v>
      </c>
      <c r="H884" s="160">
        <v>1</v>
      </c>
      <c r="I884" s="159">
        <v>1</v>
      </c>
      <c r="J884" s="161">
        <v>1</v>
      </c>
      <c r="M884" s="161">
        <v>1</v>
      </c>
      <c r="Q884" s="160">
        <v>1</v>
      </c>
      <c r="R884" s="159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14">
        <v>45684</v>
      </c>
      <c r="C885" s="117" t="s">
        <v>676</v>
      </c>
      <c r="D885" s="3" t="str">
        <f>VLOOKUP(C885,'Location Summary'!$C$4:$D$602,2,0)</f>
        <v>DB1+9</v>
      </c>
      <c r="E885" s="270" t="s">
        <v>405</v>
      </c>
      <c r="F885" s="271" t="s">
        <v>685</v>
      </c>
      <c r="G885" s="161">
        <v>1</v>
      </c>
      <c r="K885" s="160">
        <v>1</v>
      </c>
      <c r="L885" s="159">
        <v>1</v>
      </c>
      <c r="P885" s="161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14">
        <v>45684</v>
      </c>
      <c r="C886" s="117" t="s">
        <v>9</v>
      </c>
      <c r="D886" s="3" t="str">
        <f>VLOOKUP(C886,'Location Summary'!$C$4:$D$602,2,0)</f>
        <v>DB1+0</v>
      </c>
      <c r="E886" s="270" t="s">
        <v>405</v>
      </c>
      <c r="F886" s="271" t="s">
        <v>685</v>
      </c>
      <c r="M886" s="161">
        <v>1</v>
      </c>
      <c r="Q886" s="160">
        <v>1</v>
      </c>
      <c r="R886" s="159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14">
        <v>45684</v>
      </c>
      <c r="C887" s="668" t="s">
        <v>628</v>
      </c>
      <c r="D887" s="3" t="str">
        <f>VLOOKUP(C887,'Location Summary'!$C$4:$D$602,2,0)</f>
        <v>DA+6</v>
      </c>
      <c r="E887" s="270" t="s">
        <v>405</v>
      </c>
      <c r="F887" s="271" t="s">
        <v>685</v>
      </c>
      <c r="G887" s="161">
        <v>1</v>
      </c>
      <c r="Q887" s="160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14">
        <v>45684</v>
      </c>
      <c r="C888" s="117" t="s">
        <v>308</v>
      </c>
      <c r="D888" s="3" t="str">
        <f>VLOOKUP(C888,'Location Summary'!$C$4:$D$602,2,0)</f>
        <v>DA+6</v>
      </c>
      <c r="E888" s="270" t="s">
        <v>405</v>
      </c>
      <c r="F888" s="271" t="s">
        <v>685</v>
      </c>
      <c r="I888" s="159">
        <v>1</v>
      </c>
      <c r="N888" s="160">
        <v>1</v>
      </c>
      <c r="O888" s="159">
        <v>1</v>
      </c>
      <c r="R888" s="159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14">
        <v>45685</v>
      </c>
      <c r="C889" s="117" t="s">
        <v>647</v>
      </c>
      <c r="D889" s="3" t="str">
        <f>VLOOKUP(C889,'Location Summary'!$C$4:$D$602,2,0)</f>
        <v>DA+0</v>
      </c>
      <c r="E889" s="270" t="s">
        <v>405</v>
      </c>
      <c r="F889" s="271" t="s">
        <v>685</v>
      </c>
      <c r="K889" s="160">
        <v>1</v>
      </c>
      <c r="L889" s="159">
        <v>1</v>
      </c>
      <c r="N889" s="160">
        <v>1</v>
      </c>
      <c r="O889" s="159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14">
        <v>45685</v>
      </c>
      <c r="C890" s="117" t="s">
        <v>676</v>
      </c>
      <c r="D890" s="3" t="str">
        <f>VLOOKUP(C890,'Location Summary'!$C$4:$D$602,2,0)</f>
        <v>DB1+9</v>
      </c>
      <c r="E890" s="270" t="s">
        <v>405</v>
      </c>
      <c r="F890" s="271" t="s">
        <v>685</v>
      </c>
      <c r="H890" s="160">
        <v>1</v>
      </c>
      <c r="I890" s="159">
        <v>1</v>
      </c>
      <c r="Q890" s="160">
        <v>1</v>
      </c>
      <c r="R890" s="159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14">
        <v>45685</v>
      </c>
      <c r="C891" s="117" t="s">
        <v>169</v>
      </c>
      <c r="D891" s="3" t="e">
        <f>VLOOKUP(C891,'Location Summary'!$C$4:$D$602,2,0)</f>
        <v>#N/A</v>
      </c>
      <c r="E891" s="270" t="s">
        <v>405</v>
      </c>
      <c r="F891" s="271" t="s">
        <v>685</v>
      </c>
      <c r="G891" s="161">
        <v>1</v>
      </c>
      <c r="P891" s="161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14">
        <v>45685</v>
      </c>
      <c r="C892" s="117" t="s">
        <v>628</v>
      </c>
      <c r="D892" s="3" t="str">
        <f>VLOOKUP(C892,'Location Summary'!$C$4:$D$602,2,0)</f>
        <v>DA+6</v>
      </c>
      <c r="E892" s="270" t="s">
        <v>405</v>
      </c>
      <c r="F892" s="271" t="s">
        <v>685</v>
      </c>
      <c r="H892" s="160">
        <v>1</v>
      </c>
      <c r="M892" s="161">
        <v>1</v>
      </c>
      <c r="R892" s="159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14">
        <v>45685</v>
      </c>
      <c r="C893" s="117" t="s">
        <v>9</v>
      </c>
      <c r="D893" s="3" t="str">
        <f>VLOOKUP(C893,'Location Summary'!$C$4:$D$602,2,0)</f>
        <v>DB1+0</v>
      </c>
      <c r="E893" s="270" t="s">
        <v>405</v>
      </c>
      <c r="F893" s="271" t="s">
        <v>685</v>
      </c>
      <c r="J893" s="161">
        <v>1</v>
      </c>
      <c r="N893" s="160">
        <v>1</v>
      </c>
      <c r="O893" s="159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14">
        <v>45686</v>
      </c>
      <c r="C894" s="117" t="s">
        <v>676</v>
      </c>
      <c r="D894" s="3" t="str">
        <f>VLOOKUP(C894,'Location Summary'!$C$4:$D$602,2,0)</f>
        <v>DB1+9</v>
      </c>
      <c r="E894" s="270" t="s">
        <v>405</v>
      </c>
      <c r="F894" s="271" t="s">
        <v>685</v>
      </c>
      <c r="M894" s="161">
        <v>1</v>
      </c>
      <c r="X894" s="38">
        <f t="shared" si="88"/>
        <v>45686</v>
      </c>
      <c r="Y894" s="38">
        <f t="shared" si="89"/>
        <v>45714</v>
      </c>
    </row>
    <row r="895" spans="1:25" s="693" customFormat="1" ht="20.149999999999999" customHeight="1">
      <c r="A895" s="685">
        <f>SUBTOTAL(103,$B$4:B895)</f>
        <v>892</v>
      </c>
      <c r="B895" s="686">
        <v>45686</v>
      </c>
      <c r="C895" s="667" t="s">
        <v>9</v>
      </c>
      <c r="D895" s="687" t="str">
        <f>VLOOKUP(C895,'Location Summary'!$C$4:$D$602,2,0)</f>
        <v>DB1+0</v>
      </c>
      <c r="E895" s="688" t="s">
        <v>405</v>
      </c>
      <c r="F895" s="689" t="s">
        <v>685</v>
      </c>
      <c r="G895" s="690"/>
      <c r="H895" s="691"/>
      <c r="I895" s="692"/>
      <c r="J895" s="690"/>
      <c r="K895" s="695">
        <v>1</v>
      </c>
      <c r="L895" s="696">
        <v>1</v>
      </c>
      <c r="M895" s="690"/>
      <c r="N895" s="691"/>
      <c r="O895" s="692"/>
      <c r="P895" s="690"/>
      <c r="Q895" s="691"/>
      <c r="R895" s="692"/>
      <c r="T895" s="687"/>
      <c r="U895" s="687"/>
      <c r="V895" s="687"/>
      <c r="W895" s="687"/>
      <c r="X895" s="694">
        <f t="shared" si="88"/>
        <v>45686</v>
      </c>
      <c r="Y895" s="694">
        <f t="shared" si="89"/>
        <v>45714</v>
      </c>
    </row>
    <row r="896" spans="1:25" ht="20.149999999999999" customHeight="1">
      <c r="A896" s="10">
        <f>SUBTOTAL(103,$B$4:B896)</f>
        <v>893</v>
      </c>
      <c r="B896" s="114">
        <v>45686</v>
      </c>
      <c r="C896" s="117" t="s">
        <v>628</v>
      </c>
      <c r="D896" s="3" t="str">
        <f>VLOOKUP(C896,'Location Summary'!$C$4:$D$602,2,0)</f>
        <v>DA+6</v>
      </c>
      <c r="E896" s="270" t="s">
        <v>405</v>
      </c>
      <c r="F896" s="271" t="s">
        <v>685</v>
      </c>
      <c r="I896" s="159">
        <v>1</v>
      </c>
      <c r="X896" s="618">
        <f t="shared" ref="X896:X930" si="90">B896</f>
        <v>45686</v>
      </c>
      <c r="Y896" s="618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4">
        <v>45686</v>
      </c>
      <c r="C897" s="117" t="s">
        <v>169</v>
      </c>
      <c r="D897" s="3" t="e">
        <f>VLOOKUP(C897,'Location Summary'!$C$4:$D$602,2,0)</f>
        <v>#N/A</v>
      </c>
      <c r="E897" s="270" t="s">
        <v>405</v>
      </c>
      <c r="F897" s="271" t="s">
        <v>685</v>
      </c>
      <c r="H897" s="160">
        <v>1</v>
      </c>
      <c r="I897" s="159">
        <v>1</v>
      </c>
      <c r="Q897" s="160">
        <v>1</v>
      </c>
      <c r="R897" s="159">
        <v>1</v>
      </c>
      <c r="X897" s="618">
        <f t="shared" si="90"/>
        <v>45686</v>
      </c>
      <c r="Y897" s="618">
        <f t="shared" si="91"/>
        <v>45714</v>
      </c>
    </row>
    <row r="898" spans="1:25" ht="20.149999999999999" customHeight="1">
      <c r="A898" s="10">
        <f>SUBTOTAL(103,$B$4:B898)</f>
        <v>895</v>
      </c>
      <c r="B898" s="114">
        <v>45686</v>
      </c>
      <c r="C898" s="117" t="s">
        <v>66</v>
      </c>
      <c r="D898" s="3" t="str">
        <f>VLOOKUP(C898,'Location Summary'!$C$4:$D$602,2,0)</f>
        <v>DA+6</v>
      </c>
      <c r="E898" s="270" t="s">
        <v>405</v>
      </c>
      <c r="F898" s="271" t="s">
        <v>685</v>
      </c>
      <c r="G898" s="161">
        <v>1</v>
      </c>
      <c r="P898" s="161">
        <v>1</v>
      </c>
      <c r="X898" s="618">
        <f t="shared" si="90"/>
        <v>45686</v>
      </c>
      <c r="Y898" s="618">
        <f t="shared" si="91"/>
        <v>45714</v>
      </c>
    </row>
    <row r="899" spans="1:25" ht="20.149999999999999" customHeight="1">
      <c r="A899" s="10">
        <f>SUBTOTAL(103,$B$4:B899)</f>
        <v>896</v>
      </c>
      <c r="B899" s="114">
        <v>45687</v>
      </c>
      <c r="C899" s="117" t="s">
        <v>649</v>
      </c>
      <c r="D899" s="3" t="str">
        <f>VLOOKUP(C899,'Location Summary'!$C$4:$D$602,2,0)</f>
        <v>DA+3</v>
      </c>
      <c r="E899" s="270" t="s">
        <v>405</v>
      </c>
      <c r="F899" s="271" t="s">
        <v>685</v>
      </c>
      <c r="G899" s="161">
        <v>1</v>
      </c>
      <c r="J899" s="161">
        <v>1</v>
      </c>
      <c r="M899" s="161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14">
        <v>45687</v>
      </c>
      <c r="C900" s="117" t="s">
        <v>676</v>
      </c>
      <c r="D900" s="3" t="str">
        <f>VLOOKUP(C900,'Location Summary'!$C$4:$D$602,2,0)</f>
        <v>DB1+9</v>
      </c>
      <c r="E900" s="270" t="s">
        <v>405</v>
      </c>
      <c r="F900" s="271" t="s">
        <v>685</v>
      </c>
      <c r="N900" s="160">
        <v>1</v>
      </c>
      <c r="O900" s="159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14">
        <v>45687</v>
      </c>
      <c r="C901" s="117" t="s">
        <v>163</v>
      </c>
      <c r="D901" s="3" t="str">
        <f>VLOOKUP(C901,'Location Summary'!$C$4:$D$602,2,0)</f>
        <v>DA+1.5</v>
      </c>
      <c r="E901" s="270" t="s">
        <v>405</v>
      </c>
      <c r="F901" s="271" t="s">
        <v>685</v>
      </c>
      <c r="G901" s="161">
        <v>1</v>
      </c>
      <c r="J901" s="161">
        <v>1</v>
      </c>
      <c r="P901" s="161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14">
        <v>45687</v>
      </c>
      <c r="C902" s="117" t="s">
        <v>402</v>
      </c>
      <c r="D902" s="3" t="str">
        <f>VLOOKUP(C902,'Location Summary'!$C$4:$D$602,2,0)</f>
        <v>DA+9</v>
      </c>
      <c r="E902" s="270" t="s">
        <v>405</v>
      </c>
      <c r="F902" s="271" t="s">
        <v>685</v>
      </c>
      <c r="P902" s="161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14">
        <v>45687</v>
      </c>
      <c r="C903" s="117" t="s">
        <v>628</v>
      </c>
      <c r="D903" s="3" t="str">
        <f>VLOOKUP(C903,'Location Summary'!$C$4:$D$602,2,0)</f>
        <v>DA+6</v>
      </c>
      <c r="E903" s="270" t="s">
        <v>405</v>
      </c>
      <c r="F903" s="271" t="s">
        <v>685</v>
      </c>
      <c r="J903" s="161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14">
        <v>45687</v>
      </c>
      <c r="C904" s="117" t="s">
        <v>169</v>
      </c>
      <c r="D904" s="3" t="e">
        <f>VLOOKUP(C904,'Location Summary'!$C$4:$D$602,2,0)</f>
        <v>#N/A</v>
      </c>
      <c r="E904" s="270" t="s">
        <v>405</v>
      </c>
      <c r="F904" s="271" t="s">
        <v>685</v>
      </c>
      <c r="J904" s="161">
        <v>1</v>
      </c>
      <c r="M904" s="161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14">
        <v>45687</v>
      </c>
      <c r="C905" s="117" t="s">
        <v>66</v>
      </c>
      <c r="D905" s="3" t="str">
        <f>VLOOKUP(C905,'Location Summary'!$C$4:$D$602,2,0)</f>
        <v>DA+6</v>
      </c>
      <c r="E905" s="270" t="s">
        <v>405</v>
      </c>
      <c r="F905" s="271" t="s">
        <v>685</v>
      </c>
      <c r="H905" s="160">
        <v>1</v>
      </c>
      <c r="I905" s="159">
        <v>1</v>
      </c>
      <c r="J905" s="161">
        <v>1</v>
      </c>
      <c r="M905" s="161">
        <v>1</v>
      </c>
      <c r="Q905" s="160">
        <v>1</v>
      </c>
      <c r="R905" s="159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14">
        <v>45688</v>
      </c>
      <c r="C906" s="117" t="s">
        <v>649</v>
      </c>
      <c r="D906" s="3" t="str">
        <f>VLOOKUP(C906,'Location Summary'!$C$4:$D$602,2,0)</f>
        <v>DA+3</v>
      </c>
      <c r="E906" s="270" t="s">
        <v>405</v>
      </c>
      <c r="F906" s="271" t="s">
        <v>685</v>
      </c>
      <c r="H906" s="160">
        <v>1</v>
      </c>
      <c r="I906" s="159">
        <v>1</v>
      </c>
      <c r="K906" s="160">
        <v>1</v>
      </c>
      <c r="L906" s="159">
        <v>1</v>
      </c>
      <c r="N906" s="160">
        <v>1</v>
      </c>
      <c r="O906" s="159">
        <v>1</v>
      </c>
      <c r="P906" s="161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14">
        <v>45688</v>
      </c>
      <c r="C907" s="117" t="s">
        <v>163</v>
      </c>
      <c r="D907" s="3" t="str">
        <f>VLOOKUP(C907,'Location Summary'!$C$4:$D$602,2,0)</f>
        <v>DA+1.5</v>
      </c>
      <c r="E907" s="270" t="s">
        <v>405</v>
      </c>
      <c r="F907" s="271" t="s">
        <v>685</v>
      </c>
      <c r="H907" s="160">
        <v>1</v>
      </c>
      <c r="I907" s="159">
        <v>1</v>
      </c>
      <c r="K907" s="160">
        <v>1</v>
      </c>
      <c r="L907" s="159">
        <v>1</v>
      </c>
      <c r="M907" s="161">
        <v>1</v>
      </c>
      <c r="Q907" s="160">
        <v>1</v>
      </c>
      <c r="R907" s="159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14">
        <v>45688</v>
      </c>
      <c r="C908" s="117" t="s">
        <v>402</v>
      </c>
      <c r="D908" s="3" t="str">
        <f>VLOOKUP(C908,'Location Summary'!$C$4:$D$602,2,0)</f>
        <v>DA+9</v>
      </c>
      <c r="E908" s="270" t="s">
        <v>405</v>
      </c>
      <c r="F908" s="271" t="s">
        <v>685</v>
      </c>
      <c r="Q908" s="160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14">
        <v>45688</v>
      </c>
      <c r="C909" s="117" t="s">
        <v>628</v>
      </c>
      <c r="D909" s="3" t="str">
        <f>VLOOKUP(C909,'Location Summary'!$C$4:$D$602,2,0)</f>
        <v>DA+6</v>
      </c>
      <c r="E909" s="270" t="s">
        <v>405</v>
      </c>
      <c r="F909" s="271" t="s">
        <v>685</v>
      </c>
      <c r="K909" s="160">
        <v>1</v>
      </c>
      <c r="L909" s="159">
        <v>1</v>
      </c>
      <c r="N909" s="160">
        <v>1</v>
      </c>
      <c r="O909" s="159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14">
        <v>45688</v>
      </c>
      <c r="C910" s="668" t="s">
        <v>169</v>
      </c>
      <c r="D910" s="3" t="e">
        <f>VLOOKUP(C910,'Location Summary'!$C$4:$D$602,2,0)</f>
        <v>#N/A</v>
      </c>
      <c r="E910" s="270" t="s">
        <v>405</v>
      </c>
      <c r="F910" s="271" t="s">
        <v>685</v>
      </c>
      <c r="K910" s="160">
        <v>1</v>
      </c>
      <c r="L910" s="159">
        <v>1</v>
      </c>
      <c r="N910" s="160">
        <v>1</v>
      </c>
      <c r="O910" s="159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14">
        <v>45688</v>
      </c>
      <c r="C911" s="117" t="s">
        <v>7</v>
      </c>
      <c r="D911" s="3" t="str">
        <f>VLOOKUP(C911,'Location Summary'!$C$4:$D$602,2,0)</f>
        <v>DB1+6</v>
      </c>
      <c r="E911" s="270" t="s">
        <v>405</v>
      </c>
      <c r="F911" s="271" t="s">
        <v>685</v>
      </c>
      <c r="P911" s="161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14">
        <v>45688</v>
      </c>
      <c r="C912" s="117" t="s">
        <v>66</v>
      </c>
      <c r="D912" s="3" t="str">
        <f>VLOOKUP(C912,'Location Summary'!$C$4:$D$602,2,0)</f>
        <v>DA+6</v>
      </c>
      <c r="E912" s="270" t="s">
        <v>405</v>
      </c>
      <c r="F912" s="271" t="s">
        <v>685</v>
      </c>
      <c r="K912" s="160">
        <v>1</v>
      </c>
      <c r="L912" s="159">
        <v>1</v>
      </c>
      <c r="N912" s="160">
        <v>1</v>
      </c>
      <c r="O912" s="159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14">
        <v>45689</v>
      </c>
      <c r="C913" s="117" t="s">
        <v>649</v>
      </c>
      <c r="D913" s="3" t="str">
        <f>VLOOKUP(C913,'Location Summary'!$C$4:$D$602,2,0)</f>
        <v>DA+3</v>
      </c>
      <c r="E913" s="270" t="s">
        <v>405</v>
      </c>
      <c r="F913" s="271" t="s">
        <v>685</v>
      </c>
      <c r="Q913" s="160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14">
        <v>45689</v>
      </c>
      <c r="C914" s="117" t="s">
        <v>426</v>
      </c>
      <c r="D914" s="3" t="str">
        <f>VLOOKUP(C914,'Location Summary'!$C$4:$D$602,2,0)</f>
        <v>DA+1.5</v>
      </c>
      <c r="E914" s="270" t="s">
        <v>405</v>
      </c>
      <c r="F914" s="271" t="s">
        <v>685</v>
      </c>
      <c r="M914" s="161">
        <v>1</v>
      </c>
      <c r="P914" s="161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14">
        <v>45689</v>
      </c>
      <c r="C915" s="117" t="s">
        <v>163</v>
      </c>
      <c r="D915" s="3" t="str">
        <f>VLOOKUP(C915,'Location Summary'!$C$4:$D$602,2,0)</f>
        <v>DA+1.5</v>
      </c>
      <c r="E915" s="270" t="s">
        <v>405</v>
      </c>
      <c r="F915" s="271" t="s">
        <v>685</v>
      </c>
      <c r="N915" s="160">
        <v>1</v>
      </c>
      <c r="O915" s="159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14">
        <v>45689</v>
      </c>
      <c r="C916" s="117" t="s">
        <v>402</v>
      </c>
      <c r="D916" s="3" t="str">
        <f>VLOOKUP(C916,'Location Summary'!$C$4:$D$602,2,0)</f>
        <v>DA+9</v>
      </c>
      <c r="E916" s="270" t="s">
        <v>405</v>
      </c>
      <c r="F916" s="271" t="s">
        <v>685</v>
      </c>
      <c r="M916" s="161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14">
        <v>45689</v>
      </c>
      <c r="C917" s="117" t="s">
        <v>7</v>
      </c>
      <c r="D917" s="3" t="str">
        <f>VLOOKUP(C917,'Location Summary'!$C$4:$D$602,2,0)</f>
        <v>DB1+6</v>
      </c>
      <c r="E917" s="270" t="s">
        <v>405</v>
      </c>
      <c r="F917" s="271" t="s">
        <v>685</v>
      </c>
      <c r="G917" s="161">
        <v>1</v>
      </c>
      <c r="Q917" s="160">
        <v>1</v>
      </c>
      <c r="R917" s="159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14">
        <v>45689</v>
      </c>
      <c r="C918" s="117" t="s">
        <v>267</v>
      </c>
      <c r="D918" s="3" t="str">
        <f>VLOOKUP(C918,'Location Summary'!$C$4:$D$602,2,0)</f>
        <v>DD60+9</v>
      </c>
      <c r="E918" s="270" t="s">
        <v>405</v>
      </c>
      <c r="F918" s="271" t="s">
        <v>685</v>
      </c>
      <c r="G918" s="161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14">
        <v>45689</v>
      </c>
      <c r="C919" s="117" t="s">
        <v>165</v>
      </c>
      <c r="D919" s="3" t="str">
        <f>VLOOKUP(C919,'Location Summary'!$C$4:$D$602,2,0)</f>
        <v>DA+9</v>
      </c>
      <c r="E919" s="270" t="s">
        <v>405</v>
      </c>
      <c r="F919" s="271" t="s">
        <v>685</v>
      </c>
      <c r="G919" s="161">
        <v>1</v>
      </c>
      <c r="J919" s="161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14">
        <v>45690</v>
      </c>
      <c r="C920" s="117" t="s">
        <v>649</v>
      </c>
      <c r="D920" s="3" t="str">
        <f>VLOOKUP(C920,'Location Summary'!$C$4:$D$602,2,0)</f>
        <v>DA+3</v>
      </c>
      <c r="E920" s="270" t="s">
        <v>405</v>
      </c>
      <c r="F920" s="271" t="s">
        <v>685</v>
      </c>
      <c r="R920" s="159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14">
        <v>45690</v>
      </c>
      <c r="C921" s="117" t="s">
        <v>426</v>
      </c>
      <c r="D921" s="3" t="str">
        <f>VLOOKUP(C921,'Location Summary'!$C$4:$D$602,2,0)</f>
        <v>DA+1.5</v>
      </c>
      <c r="E921" s="270" t="s">
        <v>405</v>
      </c>
      <c r="F921" s="271" t="s">
        <v>685</v>
      </c>
      <c r="G921" s="161">
        <v>1</v>
      </c>
      <c r="J921" s="161">
        <v>1</v>
      </c>
      <c r="N921" s="160">
        <v>1</v>
      </c>
      <c r="Q921" s="160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14">
        <v>45690</v>
      </c>
      <c r="C922" s="117" t="s">
        <v>7</v>
      </c>
      <c r="D922" s="3" t="str">
        <f>VLOOKUP(C922,'Location Summary'!$C$4:$D$602,2,0)</f>
        <v>DB1+6</v>
      </c>
      <c r="E922" s="270" t="s">
        <v>405</v>
      </c>
      <c r="F922" s="271" t="s">
        <v>685</v>
      </c>
      <c r="H922" s="160">
        <v>1</v>
      </c>
      <c r="J922" s="161">
        <v>1</v>
      </c>
      <c r="M922" s="161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14">
        <v>45690</v>
      </c>
      <c r="C923" s="117" t="s">
        <v>165</v>
      </c>
      <c r="D923" s="3" t="str">
        <f>VLOOKUP(C923,'Location Summary'!$C$4:$D$602,2,0)</f>
        <v>DA+9</v>
      </c>
      <c r="E923" s="270" t="s">
        <v>405</v>
      </c>
      <c r="F923" s="271" t="s">
        <v>685</v>
      </c>
      <c r="H923" s="160">
        <v>1</v>
      </c>
      <c r="I923" s="159">
        <v>1</v>
      </c>
      <c r="K923" s="160">
        <v>1</v>
      </c>
      <c r="L923" s="159">
        <v>1</v>
      </c>
      <c r="M923" s="161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14">
        <v>45691</v>
      </c>
      <c r="C924" s="117" t="s">
        <v>648</v>
      </c>
      <c r="D924" s="3" t="e">
        <f>VLOOKUP(C924,'Location Summary'!$C$4:$D$602,2,0)</f>
        <v>#N/A</v>
      </c>
      <c r="E924" s="270" t="s">
        <v>405</v>
      </c>
      <c r="F924" s="271" t="s">
        <v>685</v>
      </c>
      <c r="G924" s="161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14">
        <v>45691</v>
      </c>
      <c r="C925" s="117" t="s">
        <v>426</v>
      </c>
      <c r="D925" s="3" t="str">
        <f>VLOOKUP(C925,'Location Summary'!$C$4:$D$602,2,0)</f>
        <v>DA+1.5</v>
      </c>
      <c r="E925" s="270" t="s">
        <v>405</v>
      </c>
      <c r="F925" s="271" t="s">
        <v>685</v>
      </c>
      <c r="H925" s="160">
        <v>1</v>
      </c>
      <c r="K925" s="160">
        <v>1</v>
      </c>
      <c r="O925" s="159">
        <v>1</v>
      </c>
      <c r="R925" s="159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14">
        <v>45691</v>
      </c>
      <c r="C926" s="117" t="s">
        <v>446</v>
      </c>
      <c r="D926" s="3" t="str">
        <f>VLOOKUP(C926,'Location Summary'!$C$4:$D$602,2,0)</f>
        <v>DA-1.5</v>
      </c>
      <c r="E926" s="270" t="s">
        <v>405</v>
      </c>
      <c r="F926" s="271" t="s">
        <v>685</v>
      </c>
      <c r="G926" s="161">
        <v>1</v>
      </c>
      <c r="J926" s="161">
        <v>1</v>
      </c>
      <c r="M926" s="161">
        <v>1</v>
      </c>
      <c r="P926" s="161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14">
        <v>45691</v>
      </c>
      <c r="C927" s="117" t="s">
        <v>644</v>
      </c>
      <c r="D927" s="3" t="str">
        <f>VLOOKUP(C927,'Location Summary'!$C$4:$D$602,2,0)</f>
        <v>DA-1.5</v>
      </c>
      <c r="E927" s="270" t="s">
        <v>405</v>
      </c>
      <c r="F927" s="271" t="s">
        <v>685</v>
      </c>
      <c r="G927" s="161">
        <v>1</v>
      </c>
      <c r="J927" s="161">
        <v>1</v>
      </c>
      <c r="M927" s="161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14">
        <v>45691</v>
      </c>
      <c r="C928" s="117" t="s">
        <v>7</v>
      </c>
      <c r="D928" s="3" t="str">
        <f>VLOOKUP(C928,'Location Summary'!$C$4:$D$602,2,0)</f>
        <v>DB1+6</v>
      </c>
      <c r="E928" s="270" t="s">
        <v>405</v>
      </c>
      <c r="F928" s="271" t="s">
        <v>685</v>
      </c>
      <c r="I928" s="159">
        <v>1</v>
      </c>
      <c r="K928" s="160">
        <v>1</v>
      </c>
      <c r="L928" s="159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14">
        <v>45691</v>
      </c>
      <c r="C929" s="117" t="s">
        <v>165</v>
      </c>
      <c r="D929" s="3" t="str">
        <f>VLOOKUP(C929,'Location Summary'!$C$4:$D$602,2,0)</f>
        <v>DA+9</v>
      </c>
      <c r="E929" s="270" t="s">
        <v>405</v>
      </c>
      <c r="F929" s="271" t="s">
        <v>685</v>
      </c>
      <c r="N929" s="160">
        <v>1</v>
      </c>
      <c r="P929" s="161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14">
        <v>45692</v>
      </c>
      <c r="C930" s="117" t="s">
        <v>648</v>
      </c>
      <c r="D930" s="3" t="e">
        <f>VLOOKUP(C930,'Location Summary'!$C$4:$D$602,2,0)</f>
        <v>#N/A</v>
      </c>
      <c r="E930" s="270" t="s">
        <v>405</v>
      </c>
      <c r="F930" s="271" t="s">
        <v>685</v>
      </c>
      <c r="H930" s="160">
        <v>1</v>
      </c>
      <c r="P930" s="161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14">
        <v>45692</v>
      </c>
      <c r="C931" s="117" t="s">
        <v>426</v>
      </c>
      <c r="D931" s="3" t="str">
        <f>VLOOKUP(C931,'Location Summary'!$C$4:$D$602,2,0)</f>
        <v>DA+1.5</v>
      </c>
      <c r="E931" s="270" t="s">
        <v>405</v>
      </c>
      <c r="F931" s="271" t="s">
        <v>685</v>
      </c>
      <c r="I931" s="159">
        <v>1</v>
      </c>
      <c r="L931" s="159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14">
        <v>45692</v>
      </c>
      <c r="C932" s="117" t="s">
        <v>402</v>
      </c>
      <c r="D932" s="3" t="str">
        <f>VLOOKUP(C932,'Location Summary'!$C$4:$D$602,2,0)</f>
        <v>DA+9</v>
      </c>
      <c r="E932" s="270" t="s">
        <v>405</v>
      </c>
      <c r="F932" s="271" t="s">
        <v>685</v>
      </c>
      <c r="N932" s="160">
        <v>1</v>
      </c>
      <c r="O932" s="159">
        <v>1</v>
      </c>
      <c r="R932" s="159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14">
        <v>45692</v>
      </c>
      <c r="C933" s="117" t="s">
        <v>629</v>
      </c>
      <c r="D933" s="3" t="str">
        <f>VLOOKUP(C933,'Location Summary'!$C$4:$D$602,2,0)</f>
        <v>DA+3</v>
      </c>
      <c r="E933" s="270" t="s">
        <v>405</v>
      </c>
      <c r="F933" s="271" t="s">
        <v>685</v>
      </c>
      <c r="G933" s="161">
        <v>1</v>
      </c>
      <c r="J933" s="161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14">
        <v>45692</v>
      </c>
      <c r="C934" s="117" t="s">
        <v>644</v>
      </c>
      <c r="D934" s="3" t="str">
        <f>VLOOKUP(C934,'Location Summary'!$C$4:$D$602,2,0)</f>
        <v>DA-1.5</v>
      </c>
      <c r="E934" s="270" t="s">
        <v>405</v>
      </c>
      <c r="F934" s="271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4">
        <v>45692</v>
      </c>
      <c r="C935" s="117" t="s">
        <v>644</v>
      </c>
      <c r="D935" s="3" t="str">
        <f>VLOOKUP(C935,'Location Summary'!$C$4:$D$602,2,0)</f>
        <v>DA-1.5</v>
      </c>
      <c r="E935" s="270" t="s">
        <v>405</v>
      </c>
      <c r="F935" s="271" t="s">
        <v>685</v>
      </c>
      <c r="H935" s="160">
        <v>1</v>
      </c>
      <c r="I935" s="159">
        <v>1</v>
      </c>
      <c r="K935" s="160">
        <v>1</v>
      </c>
      <c r="L935" s="159">
        <v>1</v>
      </c>
      <c r="N935" s="160">
        <v>1</v>
      </c>
      <c r="O935" s="159">
        <v>1</v>
      </c>
      <c r="P935" s="161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14">
        <v>45692</v>
      </c>
      <c r="C936" s="117" t="s">
        <v>7</v>
      </c>
      <c r="D936" s="3" t="str">
        <f>VLOOKUP(C936,'Location Summary'!$C$4:$D$602,2,0)</f>
        <v>DB1+6</v>
      </c>
      <c r="E936" s="270" t="s">
        <v>405</v>
      </c>
      <c r="F936" s="271" t="s">
        <v>685</v>
      </c>
      <c r="N936" s="160">
        <v>1</v>
      </c>
      <c r="O936" s="159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14">
        <v>45692</v>
      </c>
      <c r="C937" s="117" t="s">
        <v>267</v>
      </c>
      <c r="D937" s="3" t="str">
        <f>VLOOKUP(C937,'Location Summary'!$C$4:$D$602,2,0)</f>
        <v>DD60+9</v>
      </c>
      <c r="E937" s="270" t="s">
        <v>405</v>
      </c>
      <c r="F937" s="271" t="s">
        <v>685</v>
      </c>
      <c r="J937" s="161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14">
        <v>45692</v>
      </c>
      <c r="C938" s="117" t="s">
        <v>165</v>
      </c>
      <c r="D938" s="3" t="str">
        <f>VLOOKUP(C938,'Location Summary'!$C$4:$D$602,2,0)</f>
        <v>DA+9</v>
      </c>
      <c r="E938" s="270" t="s">
        <v>405</v>
      </c>
      <c r="F938" s="271" t="s">
        <v>685</v>
      </c>
      <c r="O938" s="159">
        <v>1</v>
      </c>
      <c r="Q938" s="160">
        <v>1</v>
      </c>
      <c r="R938" s="159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14">
        <v>45693</v>
      </c>
      <c r="C939" s="117" t="s">
        <v>648</v>
      </c>
      <c r="D939" s="3" t="e">
        <f>VLOOKUP(C939,'Location Summary'!$C$4:$D$602,2,0)</f>
        <v>#N/A</v>
      </c>
      <c r="E939" s="270" t="s">
        <v>405</v>
      </c>
      <c r="F939" s="271" t="s">
        <v>685</v>
      </c>
      <c r="I939" s="159">
        <v>1</v>
      </c>
      <c r="M939" s="161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14">
        <v>45693</v>
      </c>
      <c r="C940" s="117" t="s">
        <v>267</v>
      </c>
      <c r="D940" s="3" t="str">
        <f>VLOOKUP(C940,'Location Summary'!$C$4:$D$602,2,0)</f>
        <v>DD60+9</v>
      </c>
      <c r="E940" s="270" t="s">
        <v>405</v>
      </c>
      <c r="F940" s="271" t="s">
        <v>685</v>
      </c>
      <c r="M940" s="161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14">
        <v>45693</v>
      </c>
      <c r="C941" s="117" t="s">
        <v>629</v>
      </c>
      <c r="D941" s="3" t="str">
        <f>VLOOKUP(C941,'Location Summary'!$C$4:$D$602,2,0)</f>
        <v>DA+3</v>
      </c>
      <c r="E941" s="270" t="s">
        <v>405</v>
      </c>
      <c r="F941" s="271" t="s">
        <v>685</v>
      </c>
      <c r="H941" s="160">
        <v>1</v>
      </c>
      <c r="I941" s="159">
        <v>1</v>
      </c>
      <c r="K941" s="160">
        <v>1</v>
      </c>
      <c r="L941" s="159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14">
        <v>45693</v>
      </c>
      <c r="C942" s="117" t="s">
        <v>644</v>
      </c>
      <c r="D942" s="3" t="str">
        <f>VLOOKUP(C942,'Location Summary'!$C$4:$D$602,2,0)</f>
        <v>DA-1.5</v>
      </c>
      <c r="E942" s="270" t="s">
        <v>405</v>
      </c>
      <c r="F942" s="271" t="s">
        <v>685</v>
      </c>
      <c r="Q942" s="160">
        <v>1</v>
      </c>
      <c r="R942" s="159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14">
        <v>45693</v>
      </c>
      <c r="C943" s="117" t="s">
        <v>10</v>
      </c>
      <c r="D943" s="3" t="str">
        <f>VLOOKUP(C943,'Location Summary'!$C$4:$D$602,2,0)</f>
        <v>DB2+0</v>
      </c>
      <c r="E943" s="270" t="s">
        <v>405</v>
      </c>
      <c r="F943" s="271" t="s">
        <v>685</v>
      </c>
      <c r="J943" s="161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14">
        <v>45694</v>
      </c>
      <c r="C944" s="117" t="s">
        <v>267</v>
      </c>
      <c r="D944" s="3" t="str">
        <f>VLOOKUP(C944,'Location Summary'!$C$4:$D$602,2,0)</f>
        <v>DD60+9</v>
      </c>
      <c r="E944" s="270" t="s">
        <v>405</v>
      </c>
      <c r="F944" s="271" t="s">
        <v>685</v>
      </c>
      <c r="P944" s="161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14">
        <v>45694</v>
      </c>
      <c r="C945" s="117" t="s">
        <v>648</v>
      </c>
      <c r="D945" s="3" t="e">
        <f>VLOOKUP(C945,'Location Summary'!$C$4:$D$602,2,0)</f>
        <v>#N/A</v>
      </c>
      <c r="E945" s="270" t="s">
        <v>405</v>
      </c>
      <c r="F945" s="271" t="s">
        <v>685</v>
      </c>
      <c r="N945" s="160">
        <v>1</v>
      </c>
      <c r="Q945" s="160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14">
        <v>45694</v>
      </c>
      <c r="C946" s="117" t="s">
        <v>446</v>
      </c>
      <c r="D946" s="3" t="str">
        <f>VLOOKUP(C946,'Location Summary'!$C$4:$D$602,2,0)</f>
        <v>DA-1.5</v>
      </c>
      <c r="E946" s="270" t="s">
        <v>405</v>
      </c>
      <c r="F946" s="271" t="s">
        <v>685</v>
      </c>
      <c r="H946" s="160">
        <v>1</v>
      </c>
      <c r="I946" s="159">
        <v>1</v>
      </c>
      <c r="N946" s="160">
        <v>1</v>
      </c>
      <c r="Q946" s="160">
        <v>1</v>
      </c>
      <c r="R946" s="159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14">
        <v>45694</v>
      </c>
      <c r="C947" s="117" t="s">
        <v>629</v>
      </c>
      <c r="D947" s="3" t="str">
        <f>VLOOKUP(C947,'Location Summary'!$C$4:$D$602,2,0)</f>
        <v>DA+3</v>
      </c>
      <c r="E947" s="270" t="s">
        <v>405</v>
      </c>
      <c r="F947" s="271" t="s">
        <v>685</v>
      </c>
      <c r="M947" s="161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14">
        <v>45694</v>
      </c>
      <c r="C948" s="117" t="s">
        <v>10</v>
      </c>
      <c r="D948" s="3" t="str">
        <f>VLOOKUP(C948,'Location Summary'!$C$4:$D$602,2,0)</f>
        <v>DB2+0</v>
      </c>
      <c r="E948" s="270" t="s">
        <v>405</v>
      </c>
      <c r="F948" s="271" t="s">
        <v>685</v>
      </c>
      <c r="K948" s="160">
        <v>1</v>
      </c>
      <c r="L948" s="159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14">
        <v>45695</v>
      </c>
      <c r="C949" s="117" t="s">
        <v>648</v>
      </c>
      <c r="D949" s="3" t="e">
        <f>VLOOKUP(C949,'Location Summary'!$C$4:$D$602,2,0)</f>
        <v>#N/A</v>
      </c>
      <c r="E949" s="270" t="s">
        <v>405</v>
      </c>
      <c r="F949" s="271" t="s">
        <v>685</v>
      </c>
      <c r="O949" s="159">
        <v>1</v>
      </c>
      <c r="R949" s="159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14">
        <v>45695</v>
      </c>
      <c r="C950" s="117" t="s">
        <v>446</v>
      </c>
      <c r="D950" s="3" t="str">
        <f>VLOOKUP(C950,'Location Summary'!$C$4:$D$602,2,0)</f>
        <v>DA-1.5</v>
      </c>
      <c r="E950" s="270" t="s">
        <v>405</v>
      </c>
      <c r="F950" s="271" t="s">
        <v>685</v>
      </c>
      <c r="K950" s="160">
        <v>1</v>
      </c>
      <c r="L950" s="159">
        <v>1</v>
      </c>
      <c r="O950" s="159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14">
        <v>45695</v>
      </c>
      <c r="C951" s="117" t="s">
        <v>629</v>
      </c>
      <c r="D951" s="3" t="str">
        <f>VLOOKUP(C951,'Location Summary'!$C$4:$D$602,2,0)</f>
        <v>DA+3</v>
      </c>
      <c r="E951" s="270" t="s">
        <v>405</v>
      </c>
      <c r="F951" s="271" t="s">
        <v>685</v>
      </c>
      <c r="N951" s="160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14">
        <v>45695</v>
      </c>
      <c r="C952" s="117" t="s">
        <v>645</v>
      </c>
      <c r="D952" s="3" t="str">
        <f>VLOOKUP(C952,'Location Summary'!$C$4:$D$602,2,0)</f>
        <v>DA+6</v>
      </c>
      <c r="E952" s="270" t="s">
        <v>405</v>
      </c>
      <c r="F952" s="271" t="s">
        <v>685</v>
      </c>
      <c r="G952" s="161">
        <v>1</v>
      </c>
      <c r="J952" s="161">
        <v>1</v>
      </c>
      <c r="M952" s="161">
        <v>1</v>
      </c>
      <c r="P952" s="161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14">
        <v>45695</v>
      </c>
      <c r="C953" s="117" t="s">
        <v>10</v>
      </c>
      <c r="D953" s="3" t="str">
        <f>VLOOKUP(C953,'Location Summary'!$C$4:$D$602,2,0)</f>
        <v>DB2+0</v>
      </c>
      <c r="E953" s="270" t="s">
        <v>405</v>
      </c>
      <c r="F953" s="271" t="s">
        <v>685</v>
      </c>
      <c r="M953" s="161">
        <v>1</v>
      </c>
      <c r="P953" s="161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14">
        <v>45696</v>
      </c>
      <c r="C954" s="117" t="s">
        <v>648</v>
      </c>
      <c r="D954" s="3" t="e">
        <f>VLOOKUP(C954,'Location Summary'!$C$4:$D$602,2,0)</f>
        <v>#N/A</v>
      </c>
      <c r="E954" s="270" t="s">
        <v>405</v>
      </c>
      <c r="F954" s="271" t="s">
        <v>685</v>
      </c>
      <c r="J954" s="161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14">
        <v>45696</v>
      </c>
      <c r="C955" s="117" t="s">
        <v>645</v>
      </c>
      <c r="D955" s="3" t="str">
        <f>VLOOKUP(C955,'Location Summary'!$C$4:$D$602,2,0)</f>
        <v>DA+6</v>
      </c>
      <c r="E955" s="270" t="s">
        <v>405</v>
      </c>
      <c r="F955" s="271" t="s">
        <v>685</v>
      </c>
      <c r="H955" s="160">
        <v>1</v>
      </c>
      <c r="I955" s="159">
        <v>1</v>
      </c>
      <c r="K955" s="160">
        <v>1</v>
      </c>
      <c r="L955" s="159">
        <v>1</v>
      </c>
      <c r="N955" s="160">
        <v>1</v>
      </c>
      <c r="O955" s="159">
        <v>1</v>
      </c>
      <c r="Q955" s="160">
        <v>1</v>
      </c>
      <c r="R955" s="159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14">
        <v>45696</v>
      </c>
      <c r="C956" s="117" t="s">
        <v>267</v>
      </c>
      <c r="D956" s="3" t="str">
        <f>VLOOKUP(C956,'Location Summary'!$C$4:$D$602,2,0)</f>
        <v>DD60+9</v>
      </c>
      <c r="E956" s="270" t="s">
        <v>405</v>
      </c>
      <c r="F956" s="271" t="s">
        <v>685</v>
      </c>
      <c r="K956" s="160">
        <v>1</v>
      </c>
      <c r="Q956" s="160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14">
        <v>45696</v>
      </c>
      <c r="C957" s="117" t="s">
        <v>10</v>
      </c>
      <c r="D957" s="3" t="str">
        <f>VLOOKUP(C957,'Location Summary'!$C$4:$D$602,2,0)</f>
        <v>DB2+0</v>
      </c>
      <c r="E957" s="270" t="s">
        <v>405</v>
      </c>
      <c r="F957" s="271" t="s">
        <v>685</v>
      </c>
      <c r="G957" s="161">
        <v>1</v>
      </c>
      <c r="N957" s="160">
        <v>1</v>
      </c>
      <c r="O957" s="159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14">
        <v>45697</v>
      </c>
      <c r="C958" s="117" t="s">
        <v>648</v>
      </c>
      <c r="D958" s="3" t="e">
        <f>VLOOKUP(C958,'Location Summary'!$C$4:$D$602,2,0)</f>
        <v>#N/A</v>
      </c>
      <c r="E958" s="270" t="s">
        <v>405</v>
      </c>
      <c r="F958" s="271" t="s">
        <v>685</v>
      </c>
      <c r="K958" s="160">
        <v>1</v>
      </c>
      <c r="L958" s="159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14">
        <v>45697</v>
      </c>
      <c r="C959" s="117" t="s">
        <v>175</v>
      </c>
      <c r="D959" s="3" t="str">
        <f>VLOOKUP(C959,'Location Summary'!$C$4:$D$602,2,0)</f>
        <v>DA-3</v>
      </c>
      <c r="E959" s="270" t="s">
        <v>405</v>
      </c>
      <c r="F959" s="271" t="s">
        <v>685</v>
      </c>
      <c r="G959" s="161">
        <v>1</v>
      </c>
      <c r="P959" s="161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14">
        <v>45697</v>
      </c>
      <c r="C960" s="117" t="s">
        <v>447</v>
      </c>
      <c r="D960" s="3" t="str">
        <f>VLOOKUP(C960,'Location Summary'!$C$4:$D$602,2,0)</f>
        <v>DA+6</v>
      </c>
      <c r="E960" s="270" t="s">
        <v>405</v>
      </c>
      <c r="F960" s="271" t="s">
        <v>685</v>
      </c>
      <c r="H960" s="160">
        <v>1</v>
      </c>
      <c r="I960" s="159">
        <v>1</v>
      </c>
      <c r="J960" s="161">
        <v>1</v>
      </c>
      <c r="M960" s="161">
        <v>1</v>
      </c>
      <c r="P960" s="161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14">
        <v>45697</v>
      </c>
      <c r="C961" s="117" t="s">
        <v>267</v>
      </c>
      <c r="D961" s="3" t="str">
        <f>VLOOKUP(C961,'Location Summary'!$C$4:$D$602,2,0)</f>
        <v>DD60+9</v>
      </c>
      <c r="E961" s="270" t="s">
        <v>405</v>
      </c>
      <c r="F961" s="271" t="s">
        <v>685</v>
      </c>
      <c r="L961" s="159">
        <v>1</v>
      </c>
      <c r="R961" s="159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14">
        <v>45697</v>
      </c>
      <c r="C962" s="117" t="s">
        <v>10</v>
      </c>
      <c r="D962" s="3" t="str">
        <f>VLOOKUP(C962,'Location Summary'!$C$4:$D$602,2,0)</f>
        <v>DB2+0</v>
      </c>
      <c r="E962" s="270" t="s">
        <v>405</v>
      </c>
      <c r="F962" s="271" t="s">
        <v>685</v>
      </c>
      <c r="H962" s="160">
        <v>1</v>
      </c>
      <c r="I962" s="159">
        <v>1</v>
      </c>
      <c r="Q962" s="160">
        <v>1</v>
      </c>
      <c r="R962" s="159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14">
        <v>45698</v>
      </c>
      <c r="C963" s="117" t="s">
        <v>175</v>
      </c>
      <c r="D963" s="3" t="str">
        <f>VLOOKUP(C963,'Location Summary'!$C$4:$D$602,2,0)</f>
        <v>DA-3</v>
      </c>
      <c r="E963" s="270" t="s">
        <v>405</v>
      </c>
      <c r="F963" s="271" t="s">
        <v>685</v>
      </c>
      <c r="H963" s="160">
        <v>1</v>
      </c>
      <c r="M963" s="161">
        <v>1</v>
      </c>
      <c r="Q963" s="160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14">
        <v>45698</v>
      </c>
      <c r="C964" s="117" t="s">
        <v>447</v>
      </c>
      <c r="D964" s="3" t="str">
        <f>VLOOKUP(C964,'Location Summary'!$C$4:$D$602,2,0)</f>
        <v>DA+6</v>
      </c>
      <c r="E964" s="270" t="s">
        <v>405</v>
      </c>
      <c r="F964" s="271" t="s">
        <v>685</v>
      </c>
      <c r="K964" s="160">
        <v>1</v>
      </c>
      <c r="L964" s="159">
        <v>1</v>
      </c>
      <c r="N964" s="160">
        <v>1</v>
      </c>
      <c r="O964" s="159">
        <v>1</v>
      </c>
      <c r="Q964" s="160">
        <v>1</v>
      </c>
      <c r="R964" s="159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14">
        <v>45698</v>
      </c>
      <c r="C965" s="117" t="s">
        <v>402</v>
      </c>
      <c r="D965" s="3" t="str">
        <f>VLOOKUP(C965,'Location Summary'!$C$4:$D$602,2,0)</f>
        <v>DA+9</v>
      </c>
      <c r="E965" s="270" t="s">
        <v>405</v>
      </c>
      <c r="F965" s="271" t="s">
        <v>685</v>
      </c>
      <c r="G965" s="161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4">
        <v>45698</v>
      </c>
      <c r="C966" s="117" t="s">
        <v>629</v>
      </c>
      <c r="D966" s="3" t="str">
        <f>VLOOKUP(C966,'Location Summary'!$C$4:$D$602,2,0)</f>
        <v>DA+3</v>
      </c>
      <c r="E966" s="270" t="s">
        <v>405</v>
      </c>
      <c r="F966" s="271" t="s">
        <v>685</v>
      </c>
      <c r="O966" s="159">
        <v>1</v>
      </c>
      <c r="P966" s="161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14">
        <v>45698</v>
      </c>
      <c r="C967" s="117" t="s">
        <v>267</v>
      </c>
      <c r="D967" s="3" t="str">
        <f>VLOOKUP(C967,'Location Summary'!$C$4:$D$602,2,0)</f>
        <v>DD60+9</v>
      </c>
      <c r="E967" s="270" t="s">
        <v>405</v>
      </c>
      <c r="F967" s="271" t="s">
        <v>685</v>
      </c>
      <c r="H967" s="160">
        <v>1</v>
      </c>
      <c r="N967" s="160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14">
        <v>45699</v>
      </c>
      <c r="C968" s="117" t="s">
        <v>175</v>
      </c>
      <c r="D968" s="3" t="str">
        <f>VLOOKUP(C968,'Location Summary'!$C$4:$D$602,2,0)</f>
        <v>DA-3</v>
      </c>
      <c r="E968" s="270" t="s">
        <v>405</v>
      </c>
      <c r="F968" s="271" t="s">
        <v>685</v>
      </c>
      <c r="I968" s="159">
        <v>1</v>
      </c>
      <c r="J968" s="161">
        <v>1</v>
      </c>
      <c r="N968" s="160">
        <v>1</v>
      </c>
      <c r="R968" s="159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14">
        <v>45699</v>
      </c>
      <c r="C969" s="117" t="s">
        <v>402</v>
      </c>
      <c r="D969" s="3" t="str">
        <f>VLOOKUP(C969,'Location Summary'!$C$4:$D$602,2,0)</f>
        <v>DA+9</v>
      </c>
      <c r="E969" s="270" t="s">
        <v>405</v>
      </c>
      <c r="F969" s="271" t="s">
        <v>685</v>
      </c>
      <c r="J969" s="161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14">
        <v>45699</v>
      </c>
      <c r="C970" s="117" t="s">
        <v>629</v>
      </c>
      <c r="D970" s="3" t="str">
        <f>VLOOKUP(C970,'Location Summary'!$C$4:$D$602,2,0)</f>
        <v>DA+3</v>
      </c>
      <c r="E970" s="270" t="s">
        <v>405</v>
      </c>
      <c r="F970" s="271" t="s">
        <v>685</v>
      </c>
      <c r="Q970" s="160">
        <v>1</v>
      </c>
      <c r="R970" s="159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14">
        <v>45699</v>
      </c>
      <c r="C971" s="117" t="s">
        <v>267</v>
      </c>
      <c r="D971" s="3" t="str">
        <f>VLOOKUP(C971,'Location Summary'!$C$4:$D$602,2,0)</f>
        <v>DD60+9</v>
      </c>
      <c r="E971" s="270" t="s">
        <v>405</v>
      </c>
      <c r="F971" s="271" t="s">
        <v>685</v>
      </c>
      <c r="I971" s="159">
        <v>1</v>
      </c>
      <c r="O971" s="159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14">
        <v>45699</v>
      </c>
      <c r="C972" s="117" t="s">
        <v>879</v>
      </c>
      <c r="D972" s="3" t="str">
        <f>VLOOKUP(C972,'Location Summary'!$C$4:$D$602,2,0)</f>
        <v>DA+3</v>
      </c>
      <c r="E972" s="270" t="s">
        <v>405</v>
      </c>
      <c r="F972" s="271" t="s">
        <v>685</v>
      </c>
      <c r="G972" s="161">
        <v>1</v>
      </c>
      <c r="J972" s="161">
        <v>1</v>
      </c>
      <c r="M972" s="161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14">
        <v>45700</v>
      </c>
      <c r="C973" s="117" t="s">
        <v>175</v>
      </c>
      <c r="D973" s="3" t="str">
        <f>VLOOKUP(C973,'Location Summary'!$C$4:$D$602,2,0)</f>
        <v>DA-3</v>
      </c>
      <c r="E973" s="270" t="s">
        <v>405</v>
      </c>
      <c r="F973" s="271" t="s">
        <v>685</v>
      </c>
      <c r="K973" s="160">
        <v>1</v>
      </c>
      <c r="L973" s="159">
        <v>1</v>
      </c>
      <c r="O973" s="159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14">
        <v>45700</v>
      </c>
      <c r="C974" s="117" t="s">
        <v>402</v>
      </c>
      <c r="D974" s="3" t="str">
        <f>VLOOKUP(C974,'Location Summary'!$C$4:$D$602,2,0)</f>
        <v>DA+9</v>
      </c>
      <c r="E974" s="270" t="s">
        <v>405</v>
      </c>
      <c r="F974" s="271" t="s">
        <v>685</v>
      </c>
      <c r="H974" s="160">
        <v>1</v>
      </c>
      <c r="K974" s="160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14">
        <v>45700</v>
      </c>
      <c r="C975" s="117" t="s">
        <v>879</v>
      </c>
      <c r="D975" s="3" t="str">
        <f>VLOOKUP(C975,'Location Summary'!$C$4:$D$602,2,0)</f>
        <v>DA+3</v>
      </c>
      <c r="E975" s="270" t="s">
        <v>405</v>
      </c>
      <c r="F975" s="271" t="s">
        <v>685</v>
      </c>
      <c r="K975" s="160">
        <v>1</v>
      </c>
      <c r="L975" s="159">
        <v>1</v>
      </c>
      <c r="N975" s="160">
        <v>1</v>
      </c>
      <c r="O975" s="159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14">
        <v>45700</v>
      </c>
      <c r="C976" s="117" t="s">
        <v>429</v>
      </c>
      <c r="D976" s="3" t="str">
        <f>VLOOKUP(C976,'Location Summary'!$C$4:$D$602,2,0)</f>
        <v>DA+0</v>
      </c>
      <c r="E976" s="270" t="s">
        <v>405</v>
      </c>
      <c r="F976" s="271" t="s">
        <v>685</v>
      </c>
      <c r="G976" s="161">
        <v>1</v>
      </c>
      <c r="P976" s="161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14">
        <v>45701</v>
      </c>
      <c r="C977" s="117" t="s">
        <v>174</v>
      </c>
      <c r="D977" s="3" t="str">
        <f>VLOOKUP(C977,'Location Summary'!$C$4:$D$602,2,0)</f>
        <v>DA-3</v>
      </c>
      <c r="E977" s="270" t="s">
        <v>405</v>
      </c>
      <c r="F977" s="271" t="s">
        <v>685</v>
      </c>
      <c r="M977" s="161">
        <v>1</v>
      </c>
      <c r="P977" s="161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14">
        <v>45701</v>
      </c>
      <c r="C978" s="117" t="s">
        <v>64</v>
      </c>
      <c r="D978" s="3" t="str">
        <f>VLOOKUP(C978,'Location Summary'!$C$4:$D$602,2,0)</f>
        <v>DC1+0</v>
      </c>
      <c r="E978" s="270" t="s">
        <v>405</v>
      </c>
      <c r="F978" s="271" t="s">
        <v>685</v>
      </c>
      <c r="J978" s="161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14">
        <v>45701</v>
      </c>
      <c r="C979" s="117" t="s">
        <v>402</v>
      </c>
      <c r="D979" s="3" t="str">
        <f>VLOOKUP(C979,'Location Summary'!$C$4:$D$602,2,0)</f>
        <v>DA+9</v>
      </c>
      <c r="E979" s="270" t="s">
        <v>405</v>
      </c>
      <c r="F979" s="271" t="s">
        <v>685</v>
      </c>
      <c r="I979" s="159">
        <v>1</v>
      </c>
      <c r="L979" s="159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14">
        <v>45701</v>
      </c>
      <c r="C980" s="117" t="s">
        <v>485</v>
      </c>
      <c r="D980" s="3" t="str">
        <f>VLOOKUP(C980,'Location Summary'!$C$4:$D$602,2,0)</f>
        <v>DB1+9</v>
      </c>
      <c r="E980" s="270" t="s">
        <v>405</v>
      </c>
      <c r="F980" s="271" t="s">
        <v>685</v>
      </c>
      <c r="G980" s="161">
        <v>1</v>
      </c>
      <c r="J980" s="161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14">
        <v>45701</v>
      </c>
      <c r="C981" s="117" t="s">
        <v>879</v>
      </c>
      <c r="D981" s="3" t="str">
        <f>VLOOKUP(C981,'Location Summary'!$C$4:$D$602,2,0)</f>
        <v>DA+3</v>
      </c>
      <c r="E981" s="270" t="s">
        <v>405</v>
      </c>
      <c r="F981" s="271" t="s">
        <v>685</v>
      </c>
      <c r="H981" s="160">
        <v>1</v>
      </c>
      <c r="P981" s="161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14">
        <v>45701</v>
      </c>
      <c r="C982" s="117" t="s">
        <v>429</v>
      </c>
      <c r="D982" s="3" t="str">
        <f>VLOOKUP(C982,'Location Summary'!$C$4:$D$602,2,0)</f>
        <v>DA+0</v>
      </c>
      <c r="E982" s="270" t="s">
        <v>405</v>
      </c>
      <c r="F982" s="271" t="s">
        <v>685</v>
      </c>
      <c r="M982" s="161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14">
        <v>45702</v>
      </c>
      <c r="C983" s="117" t="s">
        <v>174</v>
      </c>
      <c r="D983" s="3" t="str">
        <f>VLOOKUP(C983,'Location Summary'!$C$4:$D$602,2,0)</f>
        <v>DA-3</v>
      </c>
      <c r="E983" s="270" t="s">
        <v>405</v>
      </c>
      <c r="F983" s="271" t="s">
        <v>685</v>
      </c>
      <c r="G983" s="161">
        <v>1</v>
      </c>
      <c r="J983" s="161">
        <v>1</v>
      </c>
      <c r="N983" s="160">
        <v>1</v>
      </c>
      <c r="O983" s="159">
        <v>1</v>
      </c>
      <c r="Q983" s="160">
        <v>1</v>
      </c>
      <c r="R983" s="159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14">
        <v>45702</v>
      </c>
      <c r="C984" s="117" t="s">
        <v>64</v>
      </c>
      <c r="D984" s="3" t="str">
        <f>VLOOKUP(C984,'Location Summary'!$C$4:$D$602,2,0)</f>
        <v>DC1+0</v>
      </c>
      <c r="E984" s="270" t="s">
        <v>405</v>
      </c>
      <c r="F984" s="271" t="s">
        <v>685</v>
      </c>
      <c r="G984" s="161">
        <v>1</v>
      </c>
      <c r="K984" s="160">
        <v>1</v>
      </c>
      <c r="L984" s="159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14">
        <v>45702</v>
      </c>
      <c r="C985" s="117" t="s">
        <v>485</v>
      </c>
      <c r="D985" s="3" t="str">
        <f>VLOOKUP(C985,'Location Summary'!$C$4:$D$602,2,0)</f>
        <v>DB1+9</v>
      </c>
      <c r="E985" s="270" t="s">
        <v>405</v>
      </c>
      <c r="F985" s="271" t="s">
        <v>685</v>
      </c>
      <c r="H985" s="160">
        <v>1</v>
      </c>
      <c r="K985" s="160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14">
        <v>45702</v>
      </c>
      <c r="C986" s="117" t="s">
        <v>429</v>
      </c>
      <c r="D986" s="3" t="str">
        <f>VLOOKUP(C986,'Location Summary'!$C$4:$D$602,2,0)</f>
        <v>DA+0</v>
      </c>
      <c r="E986" s="270" t="s">
        <v>405</v>
      </c>
      <c r="F986" s="271" t="s">
        <v>685</v>
      </c>
      <c r="H986" s="160">
        <v>1</v>
      </c>
      <c r="I986" s="159">
        <v>1</v>
      </c>
      <c r="J986" s="161">
        <v>1</v>
      </c>
      <c r="Q986" s="160">
        <v>1</v>
      </c>
      <c r="R986" s="159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14">
        <v>45702</v>
      </c>
      <c r="C987" s="117" t="s">
        <v>372</v>
      </c>
      <c r="D987" s="3" t="str">
        <f>VLOOKUP(C987,'Location Summary'!$C$4:$D$602,2,0)</f>
        <v>DA+3</v>
      </c>
      <c r="E987" s="270" t="s">
        <v>405</v>
      </c>
      <c r="F987" s="271" t="s">
        <v>685</v>
      </c>
      <c r="M987" s="161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14">
        <v>45702</v>
      </c>
      <c r="C988" s="117" t="s">
        <v>775</v>
      </c>
      <c r="D988" s="3" t="str">
        <f>VLOOKUP(C988,'Location Summary'!$C$4:$D$602,2,0)</f>
        <v>DB1+9</v>
      </c>
      <c r="E988" s="270" t="s">
        <v>405</v>
      </c>
      <c r="F988" s="271" t="s">
        <v>685</v>
      </c>
      <c r="G988" s="161">
        <v>1</v>
      </c>
      <c r="P988" s="161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14">
        <v>45703</v>
      </c>
      <c r="C989" s="117" t="s">
        <v>485</v>
      </c>
      <c r="D989" s="3" t="str">
        <f>VLOOKUP(C989,'Location Summary'!$C$4:$D$602,2,0)</f>
        <v>DB1+9</v>
      </c>
      <c r="E989" s="270" t="s">
        <v>405</v>
      </c>
      <c r="F989" s="271" t="s">
        <v>685</v>
      </c>
      <c r="I989" s="159">
        <v>1</v>
      </c>
      <c r="L989" s="159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14">
        <v>45703</v>
      </c>
      <c r="C990" s="117" t="s">
        <v>372</v>
      </c>
      <c r="D990" s="3" t="str">
        <f>VLOOKUP(C990,'Location Summary'!$C$4:$D$602,2,0)</f>
        <v>DA+3</v>
      </c>
      <c r="E990" s="270" t="s">
        <v>405</v>
      </c>
      <c r="F990" s="271" t="s">
        <v>685</v>
      </c>
      <c r="N990" s="160">
        <v>1</v>
      </c>
      <c r="O990" s="159">
        <v>1</v>
      </c>
      <c r="P990" s="161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14">
        <v>45703</v>
      </c>
      <c r="C991" s="117" t="s">
        <v>775</v>
      </c>
      <c r="D991" s="3" t="str">
        <f>VLOOKUP(C991,'Location Summary'!$C$4:$D$602,2,0)</f>
        <v>DB1+9</v>
      </c>
      <c r="E991" s="270" t="s">
        <v>405</v>
      </c>
      <c r="F991" s="271" t="s">
        <v>685</v>
      </c>
      <c r="H991" s="160">
        <v>1</v>
      </c>
      <c r="I991" s="159">
        <v>1</v>
      </c>
      <c r="J991" s="161">
        <v>1</v>
      </c>
      <c r="Q991" s="160">
        <v>1</v>
      </c>
      <c r="R991" s="159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14">
        <v>45704</v>
      </c>
      <c r="C992" s="117" t="s">
        <v>174</v>
      </c>
      <c r="D992" s="3" t="str">
        <f>VLOOKUP(C992,'Location Summary'!$C$4:$D$602,2,0)</f>
        <v>DA-3</v>
      </c>
      <c r="E992" s="270" t="s">
        <v>405</v>
      </c>
      <c r="F992" s="271" t="s">
        <v>685</v>
      </c>
      <c r="H992" s="160">
        <v>1</v>
      </c>
      <c r="I992" s="159">
        <v>1</v>
      </c>
      <c r="K992" s="160">
        <v>1</v>
      </c>
      <c r="L992" s="159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14">
        <v>45704</v>
      </c>
      <c r="C993" s="117" t="s">
        <v>64</v>
      </c>
      <c r="D993" s="3" t="str">
        <f>VLOOKUP(C993,'Location Summary'!$C$4:$D$602,2,0)</f>
        <v>DC1+0</v>
      </c>
      <c r="E993" s="270" t="s">
        <v>405</v>
      </c>
      <c r="F993" s="271" t="s">
        <v>685</v>
      </c>
      <c r="H993" s="160">
        <v>1</v>
      </c>
      <c r="I993" s="159">
        <v>1</v>
      </c>
      <c r="P993" s="161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14">
        <v>45704</v>
      </c>
      <c r="C994" s="117" t="s">
        <v>485</v>
      </c>
      <c r="D994" s="3" t="str">
        <f>VLOOKUP(C994,'Location Summary'!$C$4:$D$602,2,0)</f>
        <v>DB1+9</v>
      </c>
      <c r="E994" s="270" t="s">
        <v>405</v>
      </c>
      <c r="F994" s="271" t="s">
        <v>685</v>
      </c>
      <c r="M994" s="161">
        <v>1</v>
      </c>
      <c r="P994" s="161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14">
        <v>45704</v>
      </c>
      <c r="C995" s="117" t="s">
        <v>879</v>
      </c>
      <c r="D995" s="3" t="str">
        <f>VLOOKUP(C995,'Location Summary'!$C$4:$D$602,2,0)</f>
        <v>DA+3</v>
      </c>
      <c r="E995" s="270" t="s">
        <v>405</v>
      </c>
      <c r="F995" s="271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14">
        <v>45704</v>
      </c>
      <c r="C996" s="117" t="s">
        <v>429</v>
      </c>
      <c r="D996" s="3" t="str">
        <f>VLOOKUP(C996,'Location Summary'!$C$4:$D$602,2,0)</f>
        <v>DA+0</v>
      </c>
      <c r="E996" s="270" t="s">
        <v>405</v>
      </c>
      <c r="F996" s="271" t="s">
        <v>685</v>
      </c>
      <c r="K996" s="160">
        <v>1</v>
      </c>
      <c r="L996" s="159">
        <v>1</v>
      </c>
      <c r="N996" s="160">
        <v>1</v>
      </c>
      <c r="O996" s="159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14">
        <v>45704</v>
      </c>
      <c r="C997" s="117" t="s">
        <v>372</v>
      </c>
      <c r="D997" s="3" t="str">
        <f>VLOOKUP(C997,'Location Summary'!$C$4:$D$602,2,0)</f>
        <v>DA+3</v>
      </c>
      <c r="E997" s="270" t="s">
        <v>405</v>
      </c>
      <c r="F997" s="271" t="s">
        <v>685</v>
      </c>
      <c r="J997" s="161">
        <v>1</v>
      </c>
      <c r="Q997" s="160">
        <v>1</v>
      </c>
      <c r="R997" s="159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14">
        <v>45705</v>
      </c>
      <c r="C998" s="117" t="s">
        <v>64</v>
      </c>
      <c r="D998" s="3" t="str">
        <f>VLOOKUP(C998,'Location Summary'!$C$4:$D$602,2,0)</f>
        <v>DC1+0</v>
      </c>
      <c r="E998" s="270" t="s">
        <v>405</v>
      </c>
      <c r="F998" s="271" t="s">
        <v>685</v>
      </c>
      <c r="M998" s="161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14">
        <v>45705</v>
      </c>
      <c r="C999" s="117" t="s">
        <v>485</v>
      </c>
      <c r="D999" s="3" t="str">
        <f>VLOOKUP(C999,'Location Summary'!$C$4:$D$602,2,0)</f>
        <v>DB1+9</v>
      </c>
      <c r="E999" s="270" t="s">
        <v>405</v>
      </c>
      <c r="F999" s="271" t="s">
        <v>685</v>
      </c>
      <c r="N999" s="160">
        <v>1</v>
      </c>
      <c r="Q999" s="160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14">
        <v>45705</v>
      </c>
      <c r="C1000" s="117" t="s">
        <v>879</v>
      </c>
      <c r="D1000" s="3" t="str">
        <f>VLOOKUP(C1000,'Location Summary'!$C$4:$D$602,2,0)</f>
        <v>DA+3</v>
      </c>
      <c r="E1000" s="270" t="s">
        <v>405</v>
      </c>
      <c r="F1000" s="271" t="s">
        <v>685</v>
      </c>
      <c r="I1000" s="159">
        <v>1</v>
      </c>
      <c r="Q1000" s="160">
        <v>1</v>
      </c>
      <c r="R1000" s="159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14">
        <v>45705</v>
      </c>
      <c r="C1001" s="117" t="s">
        <v>60</v>
      </c>
      <c r="D1001" s="3" t="str">
        <f>VLOOKUP(C1001,'Location Summary'!$C$4:$D$602,2,0)</f>
        <v>DD60+35</v>
      </c>
      <c r="E1001" s="270" t="s">
        <v>405</v>
      </c>
      <c r="F1001" s="271" t="s">
        <v>685</v>
      </c>
      <c r="J1001" s="161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4">
        <v>45705</v>
      </c>
      <c r="C1002" s="117" t="s">
        <v>775</v>
      </c>
      <c r="D1002" s="3" t="str">
        <f>VLOOKUP(C1002,'Location Summary'!$C$4:$D$602,2,0)</f>
        <v>DB1+9</v>
      </c>
      <c r="E1002" s="270" t="s">
        <v>405</v>
      </c>
      <c r="F1002" s="271" t="s">
        <v>685</v>
      </c>
      <c r="K1002" s="160">
        <v>1</v>
      </c>
      <c r="L1002" s="159">
        <v>1</v>
      </c>
      <c r="M1002" s="161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14">
        <v>45706</v>
      </c>
      <c r="C1003" s="117" t="s">
        <v>410</v>
      </c>
      <c r="D1003" s="3" t="str">
        <f>VLOOKUP(C1003,'Location Summary'!$C$4:$D$602,2,0)</f>
        <v>DA+0</v>
      </c>
      <c r="E1003" s="270" t="s">
        <v>405</v>
      </c>
      <c r="F1003" s="271" t="s">
        <v>685</v>
      </c>
      <c r="G1003" s="161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14">
        <v>45706</v>
      </c>
      <c r="C1004" s="117" t="s">
        <v>485</v>
      </c>
      <c r="D1004" s="3" t="str">
        <f>VLOOKUP(C1004,'Location Summary'!$C$4:$D$602,2,0)</f>
        <v>DB1+9</v>
      </c>
      <c r="E1004" s="270" t="s">
        <v>405</v>
      </c>
      <c r="F1004" s="271" t="s">
        <v>685</v>
      </c>
      <c r="O1004" s="159">
        <v>1</v>
      </c>
      <c r="R1004" s="159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14">
        <v>45706</v>
      </c>
      <c r="C1005" s="117" t="s">
        <v>60</v>
      </c>
      <c r="D1005" s="3" t="str">
        <f>VLOOKUP(C1005,'Location Summary'!$C$4:$D$602,2,0)</f>
        <v>DD60+35</v>
      </c>
      <c r="E1005" s="270" t="s">
        <v>405</v>
      </c>
      <c r="F1005" s="271" t="s">
        <v>685</v>
      </c>
      <c r="K1005" s="160">
        <v>1</v>
      </c>
      <c r="L1005" s="159">
        <v>1</v>
      </c>
      <c r="M1005" s="161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14">
        <v>45706</v>
      </c>
      <c r="C1006" s="117" t="s">
        <v>372</v>
      </c>
      <c r="D1006" s="3" t="str">
        <f>VLOOKUP(C1006,'Location Summary'!$C$4:$D$602,2,0)</f>
        <v>DA+3</v>
      </c>
      <c r="E1006" s="270" t="s">
        <v>405</v>
      </c>
      <c r="F1006" s="271" t="s">
        <v>685</v>
      </c>
      <c r="G1006" s="161">
        <v>1</v>
      </c>
      <c r="K1006" s="160">
        <v>1</v>
      </c>
      <c r="L1006" s="159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14">
        <v>45706</v>
      </c>
      <c r="C1007" s="117" t="s">
        <v>775</v>
      </c>
      <c r="D1007" s="3" t="str">
        <f>VLOOKUP(C1007,'Location Summary'!$C$4:$D$602,2,0)</f>
        <v>DB1+9</v>
      </c>
      <c r="E1007" s="270" t="s">
        <v>405</v>
      </c>
      <c r="F1007" s="271" t="s">
        <v>685</v>
      </c>
      <c r="N1007" s="160">
        <v>1</v>
      </c>
      <c r="O1007" s="159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14">
        <v>45707</v>
      </c>
      <c r="C1008" s="117" t="s">
        <v>64</v>
      </c>
      <c r="D1008" s="3" t="str">
        <f>VLOOKUP(C1008,'Location Summary'!$C$4:$D$602,2,0)</f>
        <v>DC1+0</v>
      </c>
      <c r="E1008" s="270" t="s">
        <v>405</v>
      </c>
      <c r="F1008" s="271" t="s">
        <v>685</v>
      </c>
      <c r="Q1008" s="160">
        <v>1</v>
      </c>
      <c r="R1008" s="159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14">
        <v>45707</v>
      </c>
      <c r="C1009" s="117" t="s">
        <v>410</v>
      </c>
      <c r="D1009" s="3" t="str">
        <f>VLOOKUP(C1009,'Location Summary'!$C$4:$D$602,2,0)</f>
        <v>DA+0</v>
      </c>
      <c r="E1009" s="270" t="s">
        <v>405</v>
      </c>
      <c r="F1009" s="271" t="s">
        <v>685</v>
      </c>
      <c r="H1009" s="160">
        <v>1</v>
      </c>
      <c r="I1009" s="159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14">
        <v>45707</v>
      </c>
      <c r="C1010" s="117" t="s">
        <v>630</v>
      </c>
      <c r="D1010" s="3" t="str">
        <f>VLOOKUP(C1010,'Location Summary'!$C$4:$D$602,2,0)</f>
        <v>DA+6</v>
      </c>
      <c r="E1010" s="270" t="s">
        <v>405</v>
      </c>
      <c r="F1010" s="271" t="s">
        <v>685</v>
      </c>
      <c r="M1010" s="161">
        <v>1</v>
      </c>
      <c r="P1010" s="161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14">
        <v>45707</v>
      </c>
      <c r="C1011" s="117" t="s">
        <v>69</v>
      </c>
      <c r="D1011" s="3" t="str">
        <f>VLOOKUP(C1011,'Location Summary'!$C$4:$D$602,2,0)</f>
        <v>DA+9</v>
      </c>
      <c r="E1011" s="270" t="s">
        <v>405</v>
      </c>
      <c r="F1011" s="271" t="s">
        <v>685</v>
      </c>
      <c r="G1011" s="161">
        <v>1</v>
      </c>
      <c r="J1011" s="161">
        <v>1</v>
      </c>
      <c r="M1011" s="161">
        <v>1</v>
      </c>
      <c r="P1011" s="161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14">
        <v>45707</v>
      </c>
      <c r="C1012" s="117" t="s">
        <v>372</v>
      </c>
      <c r="D1012" s="3" t="str">
        <f>VLOOKUP(C1012,'Location Summary'!$C$4:$D$602,2,0)</f>
        <v>DA+3</v>
      </c>
      <c r="E1012" s="270" t="s">
        <v>405</v>
      </c>
      <c r="F1012" s="271" t="s">
        <v>685</v>
      </c>
      <c r="H1012" s="160">
        <v>1</v>
      </c>
      <c r="I1012" s="159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14">
        <v>45707</v>
      </c>
      <c r="C1013" s="117" t="s">
        <v>408</v>
      </c>
      <c r="D1013" s="3" t="str">
        <f>VLOOKUP(C1013,'Location Summary'!$C$4:$D$602,2,0)</f>
        <v>DA+9</v>
      </c>
      <c r="E1013" s="270" t="s">
        <v>405</v>
      </c>
      <c r="F1013" s="271" t="s">
        <v>685</v>
      </c>
      <c r="G1013" s="161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14">
        <v>45708</v>
      </c>
      <c r="C1014" s="117" t="s">
        <v>57</v>
      </c>
      <c r="D1014" s="3" t="str">
        <f>VLOOKUP(C1014,'Location Summary'!$C$4:$D$602,2,0)</f>
        <v>DD60+18</v>
      </c>
      <c r="E1014" s="270" t="s">
        <v>405</v>
      </c>
      <c r="F1014" s="271" t="s">
        <v>685</v>
      </c>
      <c r="G1014" s="161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14">
        <v>45708</v>
      </c>
      <c r="C1015" s="117" t="s">
        <v>410</v>
      </c>
      <c r="D1015" s="3" t="str">
        <f>VLOOKUP(C1015,'Location Summary'!$C$4:$D$602,2,0)</f>
        <v>DA+0</v>
      </c>
      <c r="E1015" s="270" t="s">
        <v>405</v>
      </c>
      <c r="F1015" s="271" t="s">
        <v>685</v>
      </c>
      <c r="M1015" s="161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14">
        <v>45708</v>
      </c>
      <c r="C1016" s="117" t="s">
        <v>630</v>
      </c>
      <c r="D1016" s="3" t="str">
        <f>VLOOKUP(C1016,'Location Summary'!$C$4:$D$602,2,0)</f>
        <v>DA+6</v>
      </c>
      <c r="E1016" s="270" t="s">
        <v>405</v>
      </c>
      <c r="F1016" s="271" t="s">
        <v>685</v>
      </c>
      <c r="N1016" s="160">
        <v>1</v>
      </c>
      <c r="O1016" s="159">
        <v>1</v>
      </c>
      <c r="Q1016" s="160">
        <v>1</v>
      </c>
      <c r="R1016" s="159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14">
        <v>45708</v>
      </c>
      <c r="C1017" s="117" t="s">
        <v>69</v>
      </c>
      <c r="D1017" s="3" t="str">
        <f>VLOOKUP(C1017,'Location Summary'!$C$4:$D$602,2,0)</f>
        <v>DA+9</v>
      </c>
      <c r="E1017" s="270" t="s">
        <v>405</v>
      </c>
      <c r="F1017" s="271" t="s">
        <v>685</v>
      </c>
      <c r="H1017" s="160">
        <v>1</v>
      </c>
      <c r="I1017" s="159">
        <v>1</v>
      </c>
      <c r="K1017" s="160">
        <v>1</v>
      </c>
      <c r="L1017" s="159">
        <v>1</v>
      </c>
      <c r="N1017" s="160">
        <v>1</v>
      </c>
      <c r="O1017" s="159">
        <v>1</v>
      </c>
      <c r="Q1017" s="160">
        <v>1</v>
      </c>
      <c r="R1017" s="159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14">
        <v>45708</v>
      </c>
      <c r="C1018" s="117" t="s">
        <v>60</v>
      </c>
      <c r="D1018" s="3" t="str">
        <f>VLOOKUP(C1018,'Location Summary'!$C$4:$D$602,2,0)</f>
        <v>DD60+35</v>
      </c>
      <c r="E1018" s="270" t="s">
        <v>405</v>
      </c>
      <c r="F1018" s="271" t="s">
        <v>685</v>
      </c>
      <c r="N1018" s="160">
        <v>1</v>
      </c>
      <c r="O1018" s="159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14">
        <v>45708</v>
      </c>
      <c r="C1019" s="117" t="s">
        <v>182</v>
      </c>
      <c r="D1019" s="3" t="str">
        <f>VLOOKUP(C1019,'Location Summary'!$C$4:$D$602,2,0)</f>
        <v>DA+0</v>
      </c>
      <c r="E1019" s="270" t="s">
        <v>405</v>
      </c>
      <c r="F1019" s="271" t="s">
        <v>685</v>
      </c>
      <c r="J1019" s="161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14">
        <v>45708</v>
      </c>
      <c r="C1020" s="117" t="s">
        <v>408</v>
      </c>
      <c r="D1020" s="3" t="str">
        <f>VLOOKUP(C1020,'Location Summary'!$C$4:$D$602,2,0)</f>
        <v>DA+9</v>
      </c>
      <c r="E1020" s="270" t="s">
        <v>405</v>
      </c>
      <c r="F1020" s="271" t="s">
        <v>685</v>
      </c>
      <c r="H1020" s="160">
        <v>1</v>
      </c>
      <c r="I1020" s="159">
        <v>1</v>
      </c>
      <c r="J1020" s="161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14">
        <v>45708</v>
      </c>
      <c r="C1021" s="117" t="s">
        <v>63</v>
      </c>
      <c r="D1021" s="3" t="str">
        <f>VLOOKUP(C1021,'Location Summary'!$C$4:$D$602,2,0)</f>
        <v>DC2-3</v>
      </c>
      <c r="E1021" s="270" t="s">
        <v>405</v>
      </c>
      <c r="F1021" s="271" t="s">
        <v>685</v>
      </c>
      <c r="J1021" s="161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14">
        <v>45709</v>
      </c>
      <c r="C1022" s="117" t="s">
        <v>57</v>
      </c>
      <c r="D1022" s="3" t="str">
        <f>VLOOKUP(C1022,'Location Summary'!$C$4:$D$602,2,0)</f>
        <v>DD60+18</v>
      </c>
      <c r="E1022" s="270" t="s">
        <v>405</v>
      </c>
      <c r="F1022" s="271" t="s">
        <v>685</v>
      </c>
      <c r="H1022" s="160">
        <v>1</v>
      </c>
      <c r="I1022" s="159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14">
        <v>45709</v>
      </c>
      <c r="C1023" s="117" t="s">
        <v>410</v>
      </c>
      <c r="D1023" s="3" t="str">
        <f>VLOOKUP(C1023,'Location Summary'!$C$4:$D$602,2,0)</f>
        <v>DA+0</v>
      </c>
      <c r="E1023" s="270" t="s">
        <v>405</v>
      </c>
      <c r="F1023" s="271" t="s">
        <v>685</v>
      </c>
      <c r="N1023" s="160">
        <v>1</v>
      </c>
      <c r="O1023" s="159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14">
        <v>45709</v>
      </c>
      <c r="C1024" s="117" t="s">
        <v>776</v>
      </c>
      <c r="D1024" s="3" t="str">
        <f>VLOOKUP(C1024,'Location Summary'!$C$4:$D$602,2,0)</f>
        <v>DA+6</v>
      </c>
      <c r="E1024" s="270" t="s">
        <v>405</v>
      </c>
      <c r="F1024" s="271" t="s">
        <v>685</v>
      </c>
      <c r="G1024" s="161">
        <v>1</v>
      </c>
      <c r="J1024" s="161">
        <v>1</v>
      </c>
      <c r="M1024" s="161">
        <v>1</v>
      </c>
      <c r="P1024" s="161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14">
        <v>45709</v>
      </c>
      <c r="C1025" s="117" t="s">
        <v>60</v>
      </c>
      <c r="D1025" s="3" t="str">
        <f>VLOOKUP(C1025,'Location Summary'!$C$4:$D$602,2,0)</f>
        <v>DD60+35</v>
      </c>
      <c r="E1025" s="270" t="s">
        <v>405</v>
      </c>
      <c r="F1025" s="271" t="s">
        <v>685</v>
      </c>
      <c r="G1025" s="161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14">
        <v>45709</v>
      </c>
      <c r="C1026" s="117" t="s">
        <v>182</v>
      </c>
      <c r="D1026" s="3" t="str">
        <f>VLOOKUP(C1026,'Location Summary'!$C$4:$D$602,2,0)</f>
        <v>DA+0</v>
      </c>
      <c r="E1026" s="270" t="s">
        <v>405</v>
      </c>
      <c r="F1026" s="271" t="s">
        <v>685</v>
      </c>
      <c r="I1026" s="159">
        <v>1</v>
      </c>
      <c r="K1026" s="160">
        <v>1</v>
      </c>
      <c r="L1026" s="159">
        <v>1</v>
      </c>
      <c r="M1026" s="161">
        <v>1</v>
      </c>
      <c r="P1026" s="161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14">
        <v>45709</v>
      </c>
      <c r="C1027" s="117" t="s">
        <v>408</v>
      </c>
      <c r="D1027" s="3" t="str">
        <f>VLOOKUP(C1027,'Location Summary'!$C$4:$D$602,2,0)</f>
        <v>DA+9</v>
      </c>
      <c r="E1027" s="270" t="s">
        <v>405</v>
      </c>
      <c r="F1027" s="271" t="s">
        <v>685</v>
      </c>
      <c r="K1027" s="160">
        <v>1</v>
      </c>
      <c r="L1027" s="159">
        <v>1</v>
      </c>
      <c r="M1027" s="161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14">
        <v>45709</v>
      </c>
      <c r="C1028" s="117" t="s">
        <v>63</v>
      </c>
      <c r="D1028" s="3" t="str">
        <f>VLOOKUP(C1028,'Location Summary'!$C$4:$D$602,2,0)</f>
        <v>DC2-3</v>
      </c>
      <c r="E1028" s="270" t="s">
        <v>405</v>
      </c>
      <c r="F1028" s="271" t="s">
        <v>685</v>
      </c>
      <c r="G1028" s="161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14">
        <v>45710</v>
      </c>
      <c r="C1029" s="117" t="s">
        <v>57</v>
      </c>
      <c r="D1029" s="3" t="str">
        <f>VLOOKUP(C1029,'Location Summary'!$C$4:$D$602,2,0)</f>
        <v>DD60+18</v>
      </c>
      <c r="E1029" s="270" t="s">
        <v>405</v>
      </c>
      <c r="F1029" s="271" t="s">
        <v>685</v>
      </c>
      <c r="P1029" s="161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14">
        <v>45710</v>
      </c>
      <c r="C1030" s="117" t="s">
        <v>410</v>
      </c>
      <c r="D1030" s="3" t="str">
        <f>VLOOKUP(C1030,'Location Summary'!$C$4:$D$602,2,0)</f>
        <v>DA+0</v>
      </c>
      <c r="E1030" s="270" t="s">
        <v>405</v>
      </c>
      <c r="F1030" s="271" t="s">
        <v>685</v>
      </c>
      <c r="P1030" s="161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14">
        <v>45710</v>
      </c>
      <c r="C1031" s="117" t="s">
        <v>630</v>
      </c>
      <c r="D1031" s="3" t="str">
        <f>VLOOKUP(C1031,'Location Summary'!$C$4:$D$602,2,0)</f>
        <v>DA+6</v>
      </c>
      <c r="E1031" s="270" t="s">
        <v>405</v>
      </c>
      <c r="F1031" s="271" t="s">
        <v>685</v>
      </c>
      <c r="G1031" s="161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14">
        <v>45710</v>
      </c>
      <c r="C1032" s="117" t="s">
        <v>776</v>
      </c>
      <c r="D1032" s="3" t="str">
        <f>VLOOKUP(C1032,'Location Summary'!$C$4:$D$602,2,0)</f>
        <v>DA+6</v>
      </c>
      <c r="E1032" s="270" t="s">
        <v>405</v>
      </c>
      <c r="F1032" s="271" t="s">
        <v>685</v>
      </c>
      <c r="H1032" s="160">
        <v>1</v>
      </c>
      <c r="I1032" s="159">
        <v>1</v>
      </c>
      <c r="K1032" s="160">
        <v>1</v>
      </c>
      <c r="L1032" s="159">
        <v>1</v>
      </c>
      <c r="N1032" s="160">
        <v>1</v>
      </c>
      <c r="O1032" s="159">
        <v>1</v>
      </c>
      <c r="Q1032" s="160">
        <v>1</v>
      </c>
      <c r="R1032" s="159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14">
        <v>45710</v>
      </c>
      <c r="C1033" s="117" t="s">
        <v>60</v>
      </c>
      <c r="D1033" s="3" t="str">
        <f>VLOOKUP(C1033,'Location Summary'!$C$4:$D$602,2,0)</f>
        <v>DD60+35</v>
      </c>
      <c r="E1033" s="270" t="s">
        <v>405</v>
      </c>
      <c r="F1033" s="271" t="s">
        <v>685</v>
      </c>
      <c r="P1033" s="161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14">
        <v>45710</v>
      </c>
      <c r="C1034" s="117" t="s">
        <v>182</v>
      </c>
      <c r="D1034" s="3" t="str">
        <f>VLOOKUP(C1034,'Location Summary'!$C$4:$D$602,2,0)</f>
        <v>DA+0</v>
      </c>
      <c r="E1034" s="270" t="s">
        <v>405</v>
      </c>
      <c r="F1034" s="271" t="s">
        <v>685</v>
      </c>
      <c r="N1034" s="160">
        <v>1</v>
      </c>
      <c r="O1034" s="159">
        <v>1</v>
      </c>
      <c r="Q1034" s="160">
        <v>1</v>
      </c>
      <c r="R1034" s="159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14">
        <v>45710</v>
      </c>
      <c r="C1035" s="117" t="s">
        <v>408</v>
      </c>
      <c r="D1035" s="3" t="str">
        <f>VLOOKUP(C1035,'Location Summary'!$C$4:$D$602,2,0)</f>
        <v>DA+9</v>
      </c>
      <c r="E1035" s="270" t="s">
        <v>405</v>
      </c>
      <c r="F1035" s="271" t="s">
        <v>685</v>
      </c>
      <c r="N1035" s="160">
        <v>1</v>
      </c>
      <c r="O1035" s="159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14">
        <v>45710</v>
      </c>
      <c r="C1036" s="117" t="s">
        <v>63</v>
      </c>
      <c r="D1036" s="3" t="str">
        <f>VLOOKUP(C1036,'Location Summary'!$C$4:$D$602,2,0)</f>
        <v>DC2-3</v>
      </c>
      <c r="E1036" s="270" t="s">
        <v>405</v>
      </c>
      <c r="F1036" s="271" t="s">
        <v>685</v>
      </c>
      <c r="H1036" s="160">
        <v>1</v>
      </c>
      <c r="I1036" s="159">
        <v>1</v>
      </c>
      <c r="K1036" s="160">
        <v>1</v>
      </c>
      <c r="L1036" s="159">
        <v>1</v>
      </c>
      <c r="P1036" s="161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14">
        <v>45711</v>
      </c>
      <c r="C1037" s="117" t="s">
        <v>57</v>
      </c>
      <c r="D1037" s="3" t="str">
        <f>VLOOKUP(C1037,'Location Summary'!$C$4:$D$602,2,0)</f>
        <v>DD60+18</v>
      </c>
      <c r="E1037" s="270" t="s">
        <v>405</v>
      </c>
      <c r="F1037" s="271" t="s">
        <v>685</v>
      </c>
      <c r="Q1037" s="160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14">
        <v>45711</v>
      </c>
      <c r="C1038" s="117" t="s">
        <v>64</v>
      </c>
      <c r="D1038" s="3" t="str">
        <f>VLOOKUP(C1038,'Location Summary'!$C$4:$D$602,2,0)</f>
        <v>DC1+0</v>
      </c>
      <c r="E1038" s="270" t="s">
        <v>405</v>
      </c>
      <c r="F1038" s="271" t="s">
        <v>685</v>
      </c>
      <c r="N1038" s="160">
        <v>1</v>
      </c>
      <c r="O1038" s="159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14">
        <v>45711</v>
      </c>
      <c r="C1039" s="117" t="s">
        <v>410</v>
      </c>
      <c r="D1039" s="3" t="str">
        <f>VLOOKUP(C1039,'Location Summary'!$C$4:$D$602,2,0)</f>
        <v>DA+0</v>
      </c>
      <c r="E1039" s="270" t="s">
        <v>405</v>
      </c>
      <c r="F1039" s="271" t="s">
        <v>685</v>
      </c>
      <c r="Q1039" s="160">
        <v>1</v>
      </c>
      <c r="R1039" s="159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14">
        <v>45711</v>
      </c>
      <c r="C1040" s="117" t="s">
        <v>630</v>
      </c>
      <c r="D1040" s="3" t="str">
        <f>VLOOKUP(C1040,'Location Summary'!$C$4:$D$602,2,0)</f>
        <v>DA+6</v>
      </c>
      <c r="E1040" s="270" t="s">
        <v>405</v>
      </c>
      <c r="F1040" s="271" t="s">
        <v>685</v>
      </c>
      <c r="H1040" s="160">
        <v>1</v>
      </c>
      <c r="J1040" s="161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14">
        <v>45711</v>
      </c>
      <c r="C1041" s="117" t="s">
        <v>167</v>
      </c>
      <c r="D1041" s="3" t="str">
        <f>VLOOKUP(C1041,'Location Summary'!$C$4:$D$602,2,0)</f>
        <v>DD60+25</v>
      </c>
      <c r="E1041" s="270" t="s">
        <v>405</v>
      </c>
      <c r="F1041" s="271" t="s">
        <v>685</v>
      </c>
      <c r="G1041" s="161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14">
        <v>45711</v>
      </c>
      <c r="C1042" s="117" t="s">
        <v>60</v>
      </c>
      <c r="D1042" s="3" t="str">
        <f>VLOOKUP(C1042,'Location Summary'!$C$4:$D$602,2,0)</f>
        <v>DD60+35</v>
      </c>
      <c r="E1042" s="270" t="s">
        <v>405</v>
      </c>
      <c r="F1042" s="271" t="s">
        <v>685</v>
      </c>
      <c r="H1042" s="160">
        <v>1</v>
      </c>
      <c r="I1042" s="159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14">
        <v>45712</v>
      </c>
      <c r="C1043" s="117" t="s">
        <v>57</v>
      </c>
      <c r="D1043" s="3" t="str">
        <f>VLOOKUP(C1043,'Location Summary'!$C$4:$D$602,2,0)</f>
        <v>DD60+18</v>
      </c>
      <c r="E1043" s="270" t="s">
        <v>405</v>
      </c>
      <c r="F1043" s="271" t="s">
        <v>685</v>
      </c>
      <c r="M1043" s="161">
        <v>1</v>
      </c>
      <c r="R1043" s="159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14">
        <v>45712</v>
      </c>
      <c r="C1044" s="117" t="s">
        <v>410</v>
      </c>
      <c r="D1044" s="3" t="str">
        <f>VLOOKUP(C1044,'Location Summary'!$C$4:$D$602,2,0)</f>
        <v>DA+0</v>
      </c>
      <c r="E1044" s="270" t="s">
        <v>405</v>
      </c>
      <c r="F1044" s="271" t="s">
        <v>685</v>
      </c>
      <c r="J1044" s="161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14">
        <v>45712</v>
      </c>
      <c r="C1045" s="117" t="s">
        <v>630</v>
      </c>
      <c r="D1045" s="3" t="str">
        <f>VLOOKUP(C1045,'Location Summary'!$C$4:$D$602,2,0)</f>
        <v>DA+6</v>
      </c>
      <c r="E1045" s="270" t="s">
        <v>405</v>
      </c>
      <c r="F1045" s="271" t="s">
        <v>685</v>
      </c>
      <c r="I1045" s="159">
        <v>1</v>
      </c>
      <c r="K1045" s="160">
        <v>1</v>
      </c>
      <c r="L1045" s="159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4">
        <v>45712</v>
      </c>
      <c r="C1046" s="117" t="s">
        <v>167</v>
      </c>
      <c r="D1046" s="3" t="str">
        <f>VLOOKUP(C1046,'Location Summary'!$C$4:$D$602,2,0)</f>
        <v>DD60+25</v>
      </c>
      <c r="E1046" s="270" t="s">
        <v>405</v>
      </c>
      <c r="F1046" s="271" t="s">
        <v>685</v>
      </c>
      <c r="M1046" s="161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14">
        <v>45712</v>
      </c>
      <c r="C1047" s="117" t="s">
        <v>408</v>
      </c>
      <c r="D1047" s="3" t="str">
        <f>VLOOKUP(C1047,'Location Summary'!$C$4:$D$602,2,0)</f>
        <v>DA+9</v>
      </c>
      <c r="E1047" s="270" t="s">
        <v>405</v>
      </c>
      <c r="F1047" s="271" t="s">
        <v>685</v>
      </c>
      <c r="P1047" s="161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14">
        <v>45712</v>
      </c>
      <c r="C1048" s="117" t="s">
        <v>63</v>
      </c>
      <c r="D1048" s="3" t="str">
        <f>VLOOKUP(C1048,'Location Summary'!$C$4:$D$602,2,0)</f>
        <v>DC2-3</v>
      </c>
      <c r="E1048" s="270" t="s">
        <v>405</v>
      </c>
      <c r="F1048" s="271" t="s">
        <v>685</v>
      </c>
      <c r="Q1048" s="160">
        <v>1</v>
      </c>
      <c r="R1048" s="159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14">
        <v>45713</v>
      </c>
      <c r="C1049" s="117" t="s">
        <v>57</v>
      </c>
      <c r="D1049" s="3" t="str">
        <f>VLOOKUP(C1049,'Location Summary'!$C$4:$D$602,2,0)</f>
        <v>DD60+18</v>
      </c>
      <c r="E1049" s="270" t="s">
        <v>405</v>
      </c>
      <c r="F1049" s="271" t="s">
        <v>685</v>
      </c>
      <c r="N1049" s="160">
        <v>1</v>
      </c>
      <c r="O1049" s="159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14">
        <v>45713</v>
      </c>
      <c r="C1050" s="117" t="s">
        <v>410</v>
      </c>
      <c r="D1050" s="3" t="str">
        <f>VLOOKUP(C1050,'Location Summary'!$C$4:$D$602,2,0)</f>
        <v>DA+0</v>
      </c>
      <c r="E1050" s="270" t="s">
        <v>405</v>
      </c>
      <c r="F1050" s="271" t="s">
        <v>685</v>
      </c>
      <c r="K1050" s="160">
        <v>1</v>
      </c>
      <c r="L1050" s="159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14">
        <v>45713</v>
      </c>
      <c r="C1051" s="117" t="s">
        <v>167</v>
      </c>
      <c r="D1051" s="3" t="str">
        <f>VLOOKUP(C1051,'Location Summary'!$C$4:$D$602,2,0)</f>
        <v>DD60+25</v>
      </c>
      <c r="E1051" s="270" t="s">
        <v>405</v>
      </c>
      <c r="F1051" s="271" t="s">
        <v>685</v>
      </c>
      <c r="H1051" s="160">
        <v>1</v>
      </c>
      <c r="I1051" s="159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14">
        <v>45713</v>
      </c>
      <c r="C1052" s="117" t="s">
        <v>60</v>
      </c>
      <c r="D1052" s="3" t="str">
        <f>VLOOKUP(C1052,'Location Summary'!$C$4:$D$602,2,0)</f>
        <v>DD60+35</v>
      </c>
      <c r="E1052" s="270" t="s">
        <v>405</v>
      </c>
      <c r="F1052" s="271" t="s">
        <v>685</v>
      </c>
      <c r="H1052" s="160">
        <v>1</v>
      </c>
      <c r="I1052" s="159">
        <v>1</v>
      </c>
      <c r="Q1052" s="160">
        <v>1</v>
      </c>
      <c r="R1052" s="159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14">
        <v>45713</v>
      </c>
      <c r="C1053" s="117" t="s">
        <v>409</v>
      </c>
      <c r="D1053" s="3" t="str">
        <f>VLOOKUP(C1053,'Location Summary'!$C$4:$D$602,2,0)</f>
        <v>DA+0</v>
      </c>
      <c r="E1053" s="270" t="s">
        <v>405</v>
      </c>
      <c r="F1053" s="271" t="s">
        <v>685</v>
      </c>
      <c r="J1053" s="161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14">
        <v>45713</v>
      </c>
      <c r="C1054" s="117" t="s">
        <v>408</v>
      </c>
      <c r="D1054" s="3" t="str">
        <f>VLOOKUP(C1054,'Location Summary'!$C$4:$D$602,2,0)</f>
        <v>DA+9</v>
      </c>
      <c r="E1054" s="270" t="s">
        <v>405</v>
      </c>
      <c r="F1054" s="271" t="s">
        <v>685</v>
      </c>
      <c r="Q1054" s="160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14">
        <v>45714</v>
      </c>
      <c r="C1055" s="117" t="s">
        <v>57</v>
      </c>
      <c r="D1055" s="3" t="str">
        <f>VLOOKUP(C1055,'Location Summary'!$C$4:$D$602,2,0)</f>
        <v>DD60+18</v>
      </c>
      <c r="E1055" s="270" t="s">
        <v>405</v>
      </c>
      <c r="F1055" s="271" t="s">
        <v>685</v>
      </c>
      <c r="J1055" s="161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14">
        <v>45714</v>
      </c>
      <c r="C1056" s="117" t="s">
        <v>1240</v>
      </c>
      <c r="D1056" s="3" t="s">
        <v>2</v>
      </c>
      <c r="E1056" s="270" t="s">
        <v>405</v>
      </c>
      <c r="F1056" s="271" t="s">
        <v>685</v>
      </c>
      <c r="G1056" s="161">
        <v>1</v>
      </c>
      <c r="J1056" s="161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14">
        <v>45714</v>
      </c>
      <c r="C1057" s="117" t="s">
        <v>409</v>
      </c>
      <c r="D1057" s="3" t="str">
        <f>VLOOKUP(C1057,'Location Summary'!$C$4:$D$602,2,0)</f>
        <v>DA+0</v>
      </c>
      <c r="E1057" s="270" t="s">
        <v>405</v>
      </c>
      <c r="F1057" s="271" t="s">
        <v>685</v>
      </c>
      <c r="G1057" s="161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14">
        <v>45714</v>
      </c>
      <c r="C1058" s="117" t="s">
        <v>408</v>
      </c>
      <c r="D1058" s="3" t="str">
        <f>VLOOKUP(C1058,'Location Summary'!$C$4:$D$602,2,0)</f>
        <v>DA+9</v>
      </c>
      <c r="E1058" s="270" t="s">
        <v>405</v>
      </c>
      <c r="F1058" s="271" t="s">
        <v>685</v>
      </c>
      <c r="R1058" s="159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14">
        <v>45714</v>
      </c>
      <c r="C1059" s="117" t="s">
        <v>63</v>
      </c>
      <c r="D1059" s="3" t="str">
        <f>VLOOKUP(C1059,'Location Summary'!$C$4:$D$602,2,0)</f>
        <v>DC2-3</v>
      </c>
      <c r="E1059" s="270" t="s">
        <v>405</v>
      </c>
      <c r="F1059" s="271" t="s">
        <v>685</v>
      </c>
      <c r="N1059" s="160">
        <v>1</v>
      </c>
      <c r="O1059" s="159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14">
        <v>45715</v>
      </c>
      <c r="C1060" s="117" t="s">
        <v>167</v>
      </c>
      <c r="D1060" s="3" t="str">
        <f>VLOOKUP(C1060,'Location Summary'!$C$4:$D$602,2,0)</f>
        <v>DD60+25</v>
      </c>
      <c r="E1060" s="270" t="s">
        <v>405</v>
      </c>
      <c r="F1060" s="271" t="s">
        <v>685</v>
      </c>
      <c r="N1060" s="160">
        <v>1</v>
      </c>
      <c r="O1060" s="159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14">
        <v>45715</v>
      </c>
      <c r="C1061" s="117" t="s">
        <v>57</v>
      </c>
      <c r="D1061" s="3" t="str">
        <f>VLOOKUP(C1061,'Location Summary'!$C$4:$D$602,2,0)</f>
        <v>DD60+18</v>
      </c>
      <c r="E1061" s="270" t="s">
        <v>405</v>
      </c>
      <c r="F1061" s="271" t="s">
        <v>685</v>
      </c>
      <c r="K1061" s="160">
        <v>1</v>
      </c>
      <c r="L1061" s="159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14">
        <v>45715</v>
      </c>
      <c r="C1062" s="117" t="s">
        <v>59</v>
      </c>
      <c r="D1062" s="3" t="str">
        <f>VLOOKUP(C1062,'Location Summary'!$C$4:$D$602,2,0)</f>
        <v>DD60+35</v>
      </c>
      <c r="E1062" s="270" t="s">
        <v>405</v>
      </c>
      <c r="F1062" s="271" t="s">
        <v>685</v>
      </c>
      <c r="J1062" s="161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14">
        <v>45715</v>
      </c>
      <c r="C1063" s="117" t="s">
        <v>67</v>
      </c>
      <c r="D1063" s="3" t="str">
        <f>VLOOKUP(C1063,'Location Summary'!$C$4:$D$602,2,0)</f>
        <v>DB1+9</v>
      </c>
      <c r="E1063" s="270" t="s">
        <v>405</v>
      </c>
      <c r="F1063" s="95" t="s">
        <v>685</v>
      </c>
      <c r="P1063" s="161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14">
        <v>45715</v>
      </c>
      <c r="C1064" s="117" t="s">
        <v>1240</v>
      </c>
      <c r="D1064" s="3" t="str">
        <f>VLOOKUP(C1064,'Location Summary'!$C$4:$D$678,2,0)</f>
        <v>DA+3</v>
      </c>
      <c r="E1064" s="270" t="s">
        <v>405</v>
      </c>
      <c r="F1064" s="271" t="s">
        <v>685</v>
      </c>
      <c r="H1064" s="160">
        <v>1</v>
      </c>
      <c r="I1064" s="159">
        <v>1</v>
      </c>
      <c r="K1064" s="160">
        <v>1</v>
      </c>
      <c r="L1064" s="159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14">
        <v>45715</v>
      </c>
      <c r="C1065" s="117" t="s">
        <v>67</v>
      </c>
      <c r="D1065" s="3" t="str">
        <f>VLOOKUP(C1065,'Location Summary'!$C$4:$D$678,2,0)</f>
        <v>DB1+9</v>
      </c>
      <c r="E1065" s="270" t="s">
        <v>405</v>
      </c>
      <c r="F1065" s="95" t="s">
        <v>685</v>
      </c>
      <c r="G1065" s="161">
        <v>1</v>
      </c>
      <c r="M1065" s="161">
        <v>1</v>
      </c>
      <c r="Q1065" s="160">
        <v>1</v>
      </c>
      <c r="R1065" s="159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14">
        <v>45716</v>
      </c>
      <c r="C1066" s="117" t="s">
        <v>1240</v>
      </c>
      <c r="D1066" s="3" t="str">
        <f>VLOOKUP(C1066,'Location Summary'!$C$4:$D$678,2,0)</f>
        <v>DA+3</v>
      </c>
      <c r="E1066" s="270" t="s">
        <v>405</v>
      </c>
      <c r="F1066" s="271" t="s">
        <v>685</v>
      </c>
      <c r="M1066" s="161">
        <v>1</v>
      </c>
      <c r="P1066" s="161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14">
        <v>45716</v>
      </c>
      <c r="C1067" s="117" t="s">
        <v>59</v>
      </c>
      <c r="D1067" s="3" t="str">
        <f>VLOOKUP(C1067,'Location Summary'!$C$4:$D$678,2,0)</f>
        <v>DD60+35</v>
      </c>
      <c r="E1067" s="270" t="s">
        <v>405</v>
      </c>
      <c r="F1067" s="271" t="s">
        <v>685</v>
      </c>
      <c r="K1067" s="160">
        <v>1</v>
      </c>
      <c r="M1067" s="161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14">
        <v>45716</v>
      </c>
      <c r="C1068" s="117" t="s">
        <v>409</v>
      </c>
      <c r="D1068" s="3" t="str">
        <f>VLOOKUP(C1068,'Location Summary'!$C$4:$D$678,2,0)</f>
        <v>DA+0</v>
      </c>
      <c r="E1068" s="270" t="s">
        <v>405</v>
      </c>
      <c r="F1068" s="271" t="s">
        <v>685</v>
      </c>
      <c r="H1068" s="160">
        <v>1</v>
      </c>
      <c r="I1068" s="159">
        <v>1</v>
      </c>
      <c r="K1068" s="160">
        <v>1</v>
      </c>
      <c r="L1068" s="159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14">
        <v>45717</v>
      </c>
      <c r="C1069" s="117" t="s">
        <v>74</v>
      </c>
      <c r="D1069" s="3" t="str">
        <f>VLOOKUP(C1069,'Location Summary'!$C$4:$D$678,2,0)</f>
        <v>DB1+6</v>
      </c>
      <c r="E1069" s="270" t="s">
        <v>405</v>
      </c>
      <c r="F1069" s="271" t="s">
        <v>685</v>
      </c>
      <c r="G1069" s="161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14">
        <v>45717</v>
      </c>
      <c r="C1070" s="117" t="s">
        <v>67</v>
      </c>
      <c r="D1070" s="3" t="str">
        <f>VLOOKUP(C1070,'Location Summary'!$C$4:$D$678,2,0)</f>
        <v>DB1+9</v>
      </c>
      <c r="E1070" s="270" t="s">
        <v>405</v>
      </c>
      <c r="F1070" s="95" t="s">
        <v>685</v>
      </c>
      <c r="J1070" s="161">
        <v>1</v>
      </c>
      <c r="N1070" s="160">
        <v>1</v>
      </c>
      <c r="O1070" s="159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14">
        <v>45717</v>
      </c>
      <c r="C1071" s="117" t="s">
        <v>1240</v>
      </c>
      <c r="D1071" s="3" t="str">
        <f>VLOOKUP(C1071,'Location Summary'!$C$4:$D$678,2,0)</f>
        <v>DA+3</v>
      </c>
      <c r="E1071" s="270" t="s">
        <v>405</v>
      </c>
      <c r="F1071" s="271" t="s">
        <v>685</v>
      </c>
      <c r="N1071" s="160">
        <v>1</v>
      </c>
      <c r="O1071" s="159">
        <v>1</v>
      </c>
      <c r="Q1071" s="160">
        <v>1</v>
      </c>
      <c r="R1071" s="159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14">
        <v>45717</v>
      </c>
      <c r="C1072" s="117" t="s">
        <v>59</v>
      </c>
      <c r="D1072" s="3" t="str">
        <f>VLOOKUP(C1072,'Location Summary'!$C$4:$D$678,2,0)</f>
        <v>DD60+35</v>
      </c>
      <c r="E1072" s="270" t="s">
        <v>405</v>
      </c>
      <c r="F1072" s="271" t="s">
        <v>685</v>
      </c>
      <c r="G1072" s="161">
        <v>1</v>
      </c>
      <c r="L1072" s="159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14">
        <v>45717</v>
      </c>
      <c r="C1073" s="117" t="s">
        <v>167</v>
      </c>
      <c r="D1073" s="3" t="str">
        <f>VLOOKUP(C1073,'Location Summary'!$C$4:$D$678,2,0)</f>
        <v>DD60+25</v>
      </c>
      <c r="E1073" s="270" t="s">
        <v>405</v>
      </c>
      <c r="F1073" s="271" t="s">
        <v>685</v>
      </c>
      <c r="J1073" s="161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14">
        <v>45718</v>
      </c>
      <c r="C1074" s="117" t="s">
        <v>74</v>
      </c>
      <c r="D1074" s="3" t="str">
        <f>VLOOKUP(C1074,'Location Summary'!$C$4:$D$678,2,0)</f>
        <v>DB1+6</v>
      </c>
      <c r="E1074" s="270" t="s">
        <v>405</v>
      </c>
      <c r="F1074" s="271" t="s">
        <v>685</v>
      </c>
      <c r="H1074" s="160">
        <v>1</v>
      </c>
      <c r="I1074" s="159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14">
        <v>45718</v>
      </c>
      <c r="C1075" s="117" t="s">
        <v>67</v>
      </c>
      <c r="D1075" s="3" t="str">
        <f>VLOOKUP(C1075,'Location Summary'!$C$4:$D$678,2,0)</f>
        <v>DB1+9</v>
      </c>
      <c r="E1075" s="270" t="s">
        <v>405</v>
      </c>
      <c r="F1075" s="95" t="s">
        <v>685</v>
      </c>
      <c r="H1075" s="160">
        <v>1</v>
      </c>
      <c r="I1075" s="159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4">
        <v>45718</v>
      </c>
      <c r="C1076" s="117" t="s">
        <v>59</v>
      </c>
      <c r="D1076" s="3" t="str">
        <f>VLOOKUP(C1076,'Location Summary'!$C$4:$D$678,2,0)</f>
        <v>DD60+35</v>
      </c>
      <c r="E1076" s="270" t="s">
        <v>405</v>
      </c>
      <c r="F1076" s="271" t="s">
        <v>685</v>
      </c>
      <c r="H1076" s="160">
        <v>1</v>
      </c>
      <c r="N1076" s="160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14">
        <v>45718</v>
      </c>
      <c r="C1077" s="117" t="s">
        <v>167</v>
      </c>
      <c r="D1077" s="3" t="str">
        <f>VLOOKUP(C1077,'Location Summary'!$C$4:$D$678,2,0)</f>
        <v>DD60+25</v>
      </c>
      <c r="E1077" s="270" t="s">
        <v>405</v>
      </c>
      <c r="F1077" s="271" t="s">
        <v>685</v>
      </c>
      <c r="K1077" s="160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14">
        <v>45718</v>
      </c>
      <c r="C1078" s="117" t="s">
        <v>409</v>
      </c>
      <c r="D1078" s="3" t="str">
        <f>VLOOKUP(C1078,'Location Summary'!$C$4:$D$678,2,0)</f>
        <v>DA+0</v>
      </c>
      <c r="E1078" s="270" t="s">
        <v>405</v>
      </c>
      <c r="F1078" s="271" t="s">
        <v>685</v>
      </c>
      <c r="M1078" s="161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14">
        <v>45719</v>
      </c>
      <c r="C1079" s="117" t="s">
        <v>74</v>
      </c>
      <c r="D1079" s="3" t="str">
        <f>VLOOKUP(C1079,'Location Summary'!$C$4:$D$678,2,0)</f>
        <v>DB1+6</v>
      </c>
      <c r="E1079" s="270" t="s">
        <v>405</v>
      </c>
      <c r="F1079" s="271" t="s">
        <v>685</v>
      </c>
      <c r="J1079" s="161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14">
        <v>45719</v>
      </c>
      <c r="C1080" s="117" t="s">
        <v>67</v>
      </c>
      <c r="D1080" s="3" t="str">
        <f>VLOOKUP(C1080,'Location Summary'!$C$4:$D$678,2,0)</f>
        <v>DB1+9</v>
      </c>
      <c r="E1080" s="270" t="s">
        <v>405</v>
      </c>
      <c r="F1080" s="95" t="s">
        <v>685</v>
      </c>
      <c r="K1080" s="160">
        <v>1</v>
      </c>
      <c r="L1080" s="159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14">
        <v>45719</v>
      </c>
      <c r="C1081" s="117" t="s">
        <v>59</v>
      </c>
      <c r="D1081" s="3" t="str">
        <f>VLOOKUP(C1081,'Location Summary'!$C$4:$D$678,2,0)</f>
        <v>DD60+35</v>
      </c>
      <c r="E1081" s="270" t="s">
        <v>405</v>
      </c>
      <c r="F1081" s="271" t="s">
        <v>685</v>
      </c>
      <c r="I1081" s="159">
        <v>1</v>
      </c>
      <c r="O1081" s="159">
        <v>1</v>
      </c>
      <c r="P1081" s="161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14">
        <v>45719</v>
      </c>
      <c r="C1082" s="117" t="s">
        <v>409</v>
      </c>
      <c r="D1082" s="3" t="str">
        <f>VLOOKUP(C1082,'Location Summary'!$C$4:$D$678,2,0)</f>
        <v>DA+0</v>
      </c>
      <c r="E1082" s="270" t="s">
        <v>405</v>
      </c>
      <c r="F1082" s="271" t="s">
        <v>685</v>
      </c>
      <c r="N1082" s="160">
        <v>1</v>
      </c>
      <c r="O1082" s="159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14">
        <v>45720</v>
      </c>
      <c r="C1083" s="117" t="s">
        <v>74</v>
      </c>
      <c r="D1083" s="3" t="str">
        <f>VLOOKUP(C1083,'Location Summary'!$C$4:$D$678,2,0)</f>
        <v>DB1+6</v>
      </c>
      <c r="E1083" s="270" t="s">
        <v>405</v>
      </c>
      <c r="F1083" s="271" t="s">
        <v>685</v>
      </c>
      <c r="K1083" s="160">
        <v>1</v>
      </c>
      <c r="L1083" s="159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14">
        <v>45720</v>
      </c>
      <c r="C1084" s="117" t="s">
        <v>68</v>
      </c>
      <c r="D1084" s="3" t="str">
        <f>VLOOKUP(C1084,'Location Summary'!$C$4:$D$678,2,0)</f>
        <v>DA+9</v>
      </c>
      <c r="E1084" s="270" t="s">
        <v>405</v>
      </c>
      <c r="F1084" s="271" t="s">
        <v>685</v>
      </c>
      <c r="M1084" s="161">
        <v>1</v>
      </c>
      <c r="P1084" s="161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14">
        <v>45720</v>
      </c>
      <c r="C1085" s="117" t="s">
        <v>1242</v>
      </c>
      <c r="D1085" s="3" t="str">
        <f>VLOOKUP(C1085,'Location Summary'!$C$4:$D$678,2,0)</f>
        <v>DA+3</v>
      </c>
      <c r="E1085" s="270" t="s">
        <v>405</v>
      </c>
      <c r="F1085" s="271" t="s">
        <v>685</v>
      </c>
      <c r="G1085" s="161">
        <v>1</v>
      </c>
      <c r="M1085" s="161">
        <v>1</v>
      </c>
      <c r="P1085" s="161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14">
        <v>45720</v>
      </c>
      <c r="C1086" s="117" t="s">
        <v>59</v>
      </c>
      <c r="D1086" s="3" t="str">
        <f>VLOOKUP(C1086,'Location Summary'!$C$4:$D$678,2,0)</f>
        <v>DD60+35</v>
      </c>
      <c r="E1086" s="270" t="s">
        <v>405</v>
      </c>
      <c r="F1086" s="271" t="s">
        <v>685</v>
      </c>
      <c r="Q1086" s="160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14">
        <v>45720</v>
      </c>
      <c r="C1087" s="117" t="s">
        <v>167</v>
      </c>
      <c r="D1087" s="3" t="str">
        <f>VLOOKUP(C1087,'Location Summary'!$C$4:$D$678,2,0)</f>
        <v>DD60+25</v>
      </c>
      <c r="E1087" s="270" t="s">
        <v>405</v>
      </c>
      <c r="F1087" s="271" t="s">
        <v>685</v>
      </c>
      <c r="L1087" s="159">
        <v>1</v>
      </c>
      <c r="P1087" s="161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14">
        <v>45720</v>
      </c>
      <c r="C1088" s="117" t="s">
        <v>409</v>
      </c>
      <c r="D1088" s="3" t="str">
        <f>VLOOKUP(C1088,'Location Summary'!$C$4:$D$678,2,0)</f>
        <v>DA+0</v>
      </c>
      <c r="E1088" s="270" t="s">
        <v>405</v>
      </c>
      <c r="F1088" s="271" t="s">
        <v>685</v>
      </c>
      <c r="P1088" s="161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14">
        <v>45721</v>
      </c>
      <c r="C1089" s="117" t="s">
        <v>74</v>
      </c>
      <c r="D1089" s="3" t="str">
        <f>VLOOKUP(C1089,'Location Summary'!$C$4:$D$678,2,0)</f>
        <v>DB1+6</v>
      </c>
      <c r="E1089" s="270" t="s">
        <v>405</v>
      </c>
      <c r="F1089" s="271" t="s">
        <v>685</v>
      </c>
      <c r="P1089" s="161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14">
        <v>45721</v>
      </c>
      <c r="C1090" s="117" t="s">
        <v>68</v>
      </c>
      <c r="D1090" s="3" t="str">
        <f>VLOOKUP(C1090,'Location Summary'!$C$4:$D$678,2,0)</f>
        <v>DA+9</v>
      </c>
      <c r="E1090" s="270" t="s">
        <v>405</v>
      </c>
      <c r="F1090" s="271" t="s">
        <v>685</v>
      </c>
      <c r="G1090" s="161">
        <v>1</v>
      </c>
      <c r="J1090" s="161">
        <v>1</v>
      </c>
      <c r="N1090" s="160">
        <v>1</v>
      </c>
      <c r="O1090" s="159">
        <v>0.5</v>
      </c>
      <c r="Q1090" s="160">
        <v>1</v>
      </c>
      <c r="R1090" s="159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14">
        <v>45721</v>
      </c>
      <c r="C1091" s="117" t="s">
        <v>1242</v>
      </c>
      <c r="D1091" s="3" t="str">
        <f>VLOOKUP(C1091,'Location Summary'!$C$4:$D$678,2,0)</f>
        <v>DA+3</v>
      </c>
      <c r="E1091" s="270" t="s">
        <v>405</v>
      </c>
      <c r="F1091" s="271" t="s">
        <v>685</v>
      </c>
      <c r="H1091" s="160">
        <v>1</v>
      </c>
      <c r="I1091" s="159">
        <v>1</v>
      </c>
      <c r="J1091" s="161">
        <v>1</v>
      </c>
      <c r="N1091" s="160">
        <v>1</v>
      </c>
      <c r="O1091" s="159">
        <v>1</v>
      </c>
      <c r="Q1091" s="160">
        <v>1</v>
      </c>
      <c r="R1091" s="159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14">
        <v>45721</v>
      </c>
      <c r="C1092" s="117" t="s">
        <v>59</v>
      </c>
      <c r="D1092" s="3" t="str">
        <f>VLOOKUP(C1092,'Location Summary'!$C$4:$D$678,2,0)</f>
        <v>DD60+35</v>
      </c>
      <c r="E1092" s="270" t="s">
        <v>405</v>
      </c>
      <c r="F1092" s="271" t="s">
        <v>685</v>
      </c>
      <c r="R1092" s="159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14">
        <v>45721</v>
      </c>
      <c r="C1093" s="117" t="s">
        <v>167</v>
      </c>
      <c r="D1093" s="3" t="str">
        <f>VLOOKUP(C1093,'Location Summary'!$C$4:$D$678,2,0)</f>
        <v>DD60+25</v>
      </c>
      <c r="E1093" s="270" t="s">
        <v>405</v>
      </c>
      <c r="F1093" s="271" t="s">
        <v>685</v>
      </c>
      <c r="Q1093" s="160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14">
        <v>45721</v>
      </c>
      <c r="C1094" s="117" t="s">
        <v>409</v>
      </c>
      <c r="D1094" s="3" t="str">
        <f>VLOOKUP(C1094,'Location Summary'!$C$4:$D$678,2,0)</f>
        <v>DA+0</v>
      </c>
      <c r="E1094" s="270" t="s">
        <v>405</v>
      </c>
      <c r="F1094" s="271" t="s">
        <v>685</v>
      </c>
      <c r="Q1094" s="160">
        <v>1</v>
      </c>
      <c r="R1094" s="159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14">
        <v>45721</v>
      </c>
      <c r="C1095" s="117" t="s">
        <v>58</v>
      </c>
      <c r="D1095" s="3" t="str">
        <f>VLOOKUP(C1095,'Location Summary'!$C$4:$D$678,2,0)</f>
        <v>DD60+18</v>
      </c>
      <c r="E1095" s="270" t="s">
        <v>405</v>
      </c>
      <c r="F1095" s="271" t="s">
        <v>685</v>
      </c>
      <c r="G1095" s="161">
        <v>1</v>
      </c>
      <c r="P1095" s="161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14">
        <v>45722</v>
      </c>
      <c r="C1096" s="117" t="s">
        <v>74</v>
      </c>
      <c r="D1096" s="3" t="str">
        <f>VLOOKUP(C1096,'Location Summary'!$C$4:$D$678,2,0)</f>
        <v>DB1+6</v>
      </c>
      <c r="E1096" s="270" t="s">
        <v>405</v>
      </c>
      <c r="F1096" s="271" t="s">
        <v>685</v>
      </c>
      <c r="Q1096" s="160">
        <v>1</v>
      </c>
      <c r="R1096" s="159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14">
        <v>45722</v>
      </c>
      <c r="C1097" s="117" t="s">
        <v>68</v>
      </c>
      <c r="D1097" s="3" t="str">
        <f>VLOOKUP(C1097,'Location Summary'!$C$4:$D$678,2,0)</f>
        <v>DA+9</v>
      </c>
      <c r="E1097" s="270" t="s">
        <v>405</v>
      </c>
      <c r="F1097" s="271" t="s">
        <v>685</v>
      </c>
      <c r="H1097" s="160">
        <v>1</v>
      </c>
      <c r="I1097" s="159">
        <v>0.5</v>
      </c>
      <c r="K1097" s="160">
        <v>1</v>
      </c>
      <c r="L1097" s="159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14">
        <v>45722</v>
      </c>
      <c r="C1098" s="117" t="s">
        <v>1242</v>
      </c>
      <c r="D1098" s="3" t="str">
        <f>VLOOKUP(C1098,'Location Summary'!$C$4:$D$678,2,0)</f>
        <v>DA+3</v>
      </c>
      <c r="E1098" s="270" t="s">
        <v>405</v>
      </c>
      <c r="F1098" s="271" t="s">
        <v>685</v>
      </c>
      <c r="K1098" s="160">
        <v>1</v>
      </c>
      <c r="L1098" s="159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14">
        <v>45722</v>
      </c>
      <c r="C1099" s="117" t="s">
        <v>167</v>
      </c>
      <c r="D1099" s="3" t="str">
        <f>VLOOKUP(C1099,'Location Summary'!$C$4:$D$678,2,0)</f>
        <v>DD60+25</v>
      </c>
      <c r="E1099" s="270" t="s">
        <v>405</v>
      </c>
      <c r="F1099" s="271" t="s">
        <v>685</v>
      </c>
      <c r="R1099" s="159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14">
        <v>45722</v>
      </c>
      <c r="C1100" s="117" t="s">
        <v>58</v>
      </c>
      <c r="D1100" s="3" t="str">
        <f>VLOOKUP(C1100,'Location Summary'!$C$4:$D$678,2,0)</f>
        <v>DD60+18</v>
      </c>
      <c r="E1100" s="270" t="s">
        <v>405</v>
      </c>
      <c r="F1100" s="271" t="s">
        <v>685</v>
      </c>
      <c r="H1100" s="160">
        <v>1</v>
      </c>
      <c r="I1100" s="159">
        <v>1</v>
      </c>
      <c r="Q1100" s="160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14">
        <v>45723</v>
      </c>
      <c r="C1101" s="117" t="s">
        <v>74</v>
      </c>
      <c r="D1101" s="3" t="str">
        <f>VLOOKUP(C1101,'Location Summary'!$C$4:$D$678,2,0)</f>
        <v>DB1+6</v>
      </c>
      <c r="E1101" s="270" t="s">
        <v>405</v>
      </c>
      <c r="F1101" s="271" t="s">
        <v>685</v>
      </c>
      <c r="M1101" s="161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14">
        <v>45723</v>
      </c>
      <c r="C1102" s="117" t="s">
        <v>1243</v>
      </c>
      <c r="D1102" s="3" t="str">
        <f>VLOOKUP(C1102,'Location Summary'!$C$4:$D$678,2,0)</f>
        <v>DA+3</v>
      </c>
      <c r="E1102" s="270" t="s">
        <v>405</v>
      </c>
      <c r="F1102" s="271" t="s">
        <v>685</v>
      </c>
      <c r="G1102" s="161">
        <v>1</v>
      </c>
      <c r="J1102" s="161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14">
        <v>45723</v>
      </c>
      <c r="C1103" s="117" t="s">
        <v>58</v>
      </c>
      <c r="D1103" s="3" t="str">
        <f>VLOOKUP(C1103,'Location Summary'!$C$4:$D$678,2,0)</f>
        <v>DD60+18</v>
      </c>
      <c r="E1103" s="270" t="s">
        <v>405</v>
      </c>
      <c r="F1103" s="271" t="s">
        <v>685</v>
      </c>
      <c r="J1103" s="161">
        <v>1</v>
      </c>
      <c r="M1103" s="161">
        <v>1</v>
      </c>
      <c r="R1103" s="159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14">
        <v>45724</v>
      </c>
      <c r="C1104" s="117" t="s">
        <v>74</v>
      </c>
      <c r="D1104" s="3" t="str">
        <f>VLOOKUP(C1104,'Location Summary'!$C$4:$D$678,2,0)</f>
        <v>DB1+6</v>
      </c>
      <c r="E1104" s="270" t="s">
        <v>405</v>
      </c>
      <c r="F1104" s="271" t="s">
        <v>685</v>
      </c>
      <c r="N1104" s="160">
        <v>1</v>
      </c>
      <c r="O1104" s="159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14">
        <v>45724</v>
      </c>
      <c r="C1105" s="117" t="s">
        <v>878</v>
      </c>
      <c r="D1105" s="3" t="str">
        <f>VLOOKUP(C1105,'Location Summary'!$C$4:$D$678,2,0)</f>
        <v>DA+9</v>
      </c>
      <c r="E1105" s="270" t="s">
        <v>405</v>
      </c>
      <c r="F1105" s="271" t="s">
        <v>311</v>
      </c>
      <c r="G1105" s="161">
        <v>1</v>
      </c>
      <c r="P1105" s="161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14">
        <v>45724</v>
      </c>
      <c r="C1106" s="117" t="s">
        <v>1243</v>
      </c>
      <c r="D1106" s="3" t="str">
        <f>VLOOKUP(C1106,'Location Summary'!$C$4:$D$678,2,0)</f>
        <v>DA+3</v>
      </c>
      <c r="E1106" s="270" t="s">
        <v>405</v>
      </c>
      <c r="F1106" s="271" t="s">
        <v>685</v>
      </c>
      <c r="K1106" s="160">
        <v>1</v>
      </c>
      <c r="L1106" s="159">
        <v>1</v>
      </c>
      <c r="P1106" s="161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14">
        <v>45724</v>
      </c>
      <c r="C1107" s="117" t="s">
        <v>58</v>
      </c>
      <c r="D1107" s="3" t="str">
        <f>VLOOKUP(C1107,'Location Summary'!$C$4:$D$678,2,0)</f>
        <v>DD60+18</v>
      </c>
      <c r="E1107" s="270" t="s">
        <v>405</v>
      </c>
      <c r="F1107" s="271" t="s">
        <v>685</v>
      </c>
      <c r="K1107" s="160">
        <v>1</v>
      </c>
      <c r="L1107" s="159">
        <v>1</v>
      </c>
      <c r="N1107" s="160">
        <v>1</v>
      </c>
      <c r="O1107" s="159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14">
        <v>45725</v>
      </c>
      <c r="C1108" s="117" t="s">
        <v>878</v>
      </c>
      <c r="D1108" s="3" t="str">
        <f>VLOOKUP(C1108,'Location Summary'!$C$4:$D$678,2,0)</f>
        <v>DA+9</v>
      </c>
      <c r="E1108" s="270" t="s">
        <v>405</v>
      </c>
      <c r="F1108" s="271" t="s">
        <v>311</v>
      </c>
      <c r="H1108" s="160">
        <v>1</v>
      </c>
      <c r="I1108" s="159">
        <v>0.5</v>
      </c>
      <c r="J1108" s="161">
        <v>1</v>
      </c>
      <c r="M1108" s="161">
        <v>1</v>
      </c>
      <c r="Q1108" s="160">
        <v>1</v>
      </c>
      <c r="R1108" s="159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14">
        <v>45725</v>
      </c>
      <c r="C1109" s="117" t="s">
        <v>1243</v>
      </c>
      <c r="D1109" s="3" t="str">
        <f>VLOOKUP(C1109,'Location Summary'!$C$4:$D$678,2,0)</f>
        <v>DA+3</v>
      </c>
      <c r="E1109" s="270" t="s">
        <v>405</v>
      </c>
      <c r="F1109" s="271" t="s">
        <v>685</v>
      </c>
      <c r="H1109" s="160">
        <v>1</v>
      </c>
      <c r="I1109" s="159">
        <v>1</v>
      </c>
      <c r="Q1109" s="160">
        <v>1</v>
      </c>
      <c r="R1109" s="159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14">
        <v>45725</v>
      </c>
      <c r="C1110" s="117" t="s">
        <v>257</v>
      </c>
      <c r="D1110" s="3" t="str">
        <f>VLOOKUP(C1110,'Location Summary'!$C$4:$D$678,2,0)</f>
        <v>DB1+6</v>
      </c>
      <c r="E1110" s="270" t="s">
        <v>405</v>
      </c>
      <c r="F1110" s="271" t="s">
        <v>685</v>
      </c>
      <c r="G1110" s="161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14">
        <v>45726</v>
      </c>
      <c r="C1111" s="117" t="s">
        <v>878</v>
      </c>
      <c r="D1111" s="3" t="str">
        <f>VLOOKUP(C1111,'Location Summary'!$C$4:$D$678,2,0)</f>
        <v>DA+9</v>
      </c>
      <c r="E1111" s="270" t="s">
        <v>405</v>
      </c>
      <c r="F1111" s="271" t="s">
        <v>311</v>
      </c>
      <c r="K1111" s="160">
        <v>1</v>
      </c>
      <c r="L1111" s="159">
        <v>0.5</v>
      </c>
      <c r="N1111" s="160">
        <v>1</v>
      </c>
      <c r="O1111" s="159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14">
        <v>45726</v>
      </c>
      <c r="C1112" s="117" t="s">
        <v>257</v>
      </c>
      <c r="D1112" s="3" t="str">
        <f>VLOOKUP(C1112,'Location Summary'!$C$4:$D$678,2,0)</f>
        <v>DB1+6</v>
      </c>
      <c r="E1112" s="270" t="s">
        <v>405</v>
      </c>
      <c r="F1112" s="271" t="s">
        <v>685</v>
      </c>
      <c r="H1112" s="160">
        <v>1</v>
      </c>
      <c r="M1112" s="161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14">
        <v>45727</v>
      </c>
      <c r="C1113" s="117" t="s">
        <v>877</v>
      </c>
      <c r="D1113" s="3" t="str">
        <f>VLOOKUP(C1113,'Location Summary'!$C$4:$D$678,2,0)</f>
        <v>DA+9</v>
      </c>
      <c r="E1113" s="270" t="s">
        <v>405</v>
      </c>
      <c r="F1113" s="271" t="s">
        <v>685</v>
      </c>
      <c r="M1113" s="161">
        <v>1</v>
      </c>
      <c r="P1113" s="161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14">
        <v>45727</v>
      </c>
      <c r="C1114" s="117" t="s">
        <v>257</v>
      </c>
      <c r="D1114" s="3" t="str">
        <f>VLOOKUP(C1114,'Location Summary'!$C$4:$D$678,2,0)</f>
        <v>DB1+6</v>
      </c>
      <c r="E1114" s="270" t="s">
        <v>405</v>
      </c>
      <c r="F1114" s="271" t="s">
        <v>685</v>
      </c>
      <c r="I1114" s="159">
        <v>1</v>
      </c>
      <c r="N1114" s="160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14">
        <v>45727</v>
      </c>
      <c r="C1115" s="117" t="s">
        <v>1244</v>
      </c>
      <c r="D1115" s="3" t="str">
        <f>VLOOKUP(C1115,'Location Summary'!$C$4:$D$678,2,0)</f>
        <v>DA+0</v>
      </c>
      <c r="E1115" s="270" t="s">
        <v>405</v>
      </c>
      <c r="F1115" s="271" t="s">
        <v>685</v>
      </c>
      <c r="G1115" s="161">
        <v>1</v>
      </c>
      <c r="J1115" s="161">
        <v>1</v>
      </c>
      <c r="M1115" s="161">
        <v>1</v>
      </c>
      <c r="P1115" s="161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14">
        <v>45728</v>
      </c>
      <c r="C1116" s="117" t="s">
        <v>877</v>
      </c>
      <c r="D1116" s="3" t="str">
        <f>VLOOKUP(C1116,'Location Summary'!$C$4:$D$678,2,0)</f>
        <v>DA+9</v>
      </c>
      <c r="E1116" s="270" t="s">
        <v>405</v>
      </c>
      <c r="F1116" s="271" t="s">
        <v>685</v>
      </c>
      <c r="J1116" s="161">
        <v>1</v>
      </c>
      <c r="N1116" s="160">
        <v>1</v>
      </c>
      <c r="O1116" s="159">
        <v>0.5</v>
      </c>
      <c r="Q1116" s="160">
        <v>1</v>
      </c>
      <c r="R1116" s="159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14">
        <v>45728</v>
      </c>
      <c r="C1117" s="117" t="s">
        <v>1243</v>
      </c>
      <c r="D1117" s="3" t="str">
        <f>VLOOKUP(C1117,'Location Summary'!$C$4:$D$678,2,0)</f>
        <v>DA+3</v>
      </c>
      <c r="E1117" s="270" t="s">
        <v>405</v>
      </c>
      <c r="F1117" s="271" t="s">
        <v>685</v>
      </c>
      <c r="M1117" s="161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14">
        <v>45728</v>
      </c>
      <c r="C1118" s="117" t="s">
        <v>257</v>
      </c>
      <c r="D1118" s="3" t="str">
        <f>VLOOKUP(C1118,'Location Summary'!$C$4:$D$678,2,0)</f>
        <v>DB1+6</v>
      </c>
      <c r="E1118" s="270" t="s">
        <v>405</v>
      </c>
      <c r="F1118" s="271" t="s">
        <v>685</v>
      </c>
      <c r="O1118" s="159">
        <v>1</v>
      </c>
      <c r="P1118" s="161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14">
        <v>45728</v>
      </c>
      <c r="C1119" s="117" t="s">
        <v>1244</v>
      </c>
      <c r="D1119" s="3" t="str">
        <f>VLOOKUP(C1119,'Location Summary'!$C$4:$D$678,2,0)</f>
        <v>DA+0</v>
      </c>
      <c r="E1119" s="270" t="s">
        <v>405</v>
      </c>
      <c r="F1119" s="271" t="s">
        <v>685</v>
      </c>
      <c r="H1119" s="160">
        <v>1</v>
      </c>
      <c r="I1119" s="159">
        <v>1</v>
      </c>
      <c r="K1119" s="160">
        <v>1</v>
      </c>
      <c r="L1119" s="159">
        <v>1</v>
      </c>
      <c r="N1119" s="160">
        <v>1</v>
      </c>
      <c r="O1119" s="159">
        <v>1</v>
      </c>
      <c r="Q1119" s="160">
        <v>1</v>
      </c>
      <c r="R1119" s="159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14">
        <v>45729</v>
      </c>
      <c r="C1120" s="117" t="s">
        <v>877</v>
      </c>
      <c r="D1120" s="3" t="str">
        <f>VLOOKUP(C1120,'Location Summary'!$C$4:$D$678,2,0)</f>
        <v>DA+9</v>
      </c>
      <c r="E1120" s="270" t="s">
        <v>405</v>
      </c>
      <c r="F1120" s="271" t="s">
        <v>685</v>
      </c>
      <c r="G1120" s="161">
        <v>1</v>
      </c>
      <c r="H1120" s="160">
        <v>1</v>
      </c>
      <c r="I1120" s="159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14">
        <v>45729</v>
      </c>
      <c r="C1121" s="117" t="s">
        <v>1243</v>
      </c>
      <c r="D1121" s="3" t="str">
        <f>VLOOKUP(C1121,'Location Summary'!$C$4:$D$678,2,0)</f>
        <v>DA+3</v>
      </c>
      <c r="E1121" s="270" t="s">
        <v>405</v>
      </c>
      <c r="F1121" s="271" t="s">
        <v>685</v>
      </c>
      <c r="N1121" s="160">
        <v>1</v>
      </c>
      <c r="O1121" s="159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14">
        <v>45729</v>
      </c>
      <c r="C1122" s="117" t="s">
        <v>257</v>
      </c>
      <c r="D1122" s="3" t="str">
        <f>VLOOKUP(C1122,'Location Summary'!$C$4:$D$678,2,0)</f>
        <v>DB1+6</v>
      </c>
      <c r="E1122" s="270" t="s">
        <v>405</v>
      </c>
      <c r="F1122" s="271" t="s">
        <v>685</v>
      </c>
      <c r="J1122" s="161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14">
        <v>45731</v>
      </c>
      <c r="C1123" s="117" t="s">
        <v>877</v>
      </c>
      <c r="D1123" s="3" t="str">
        <f>VLOOKUP(C1123,'Location Summary'!$C$4:$D$678,2,0)</f>
        <v>DA+9</v>
      </c>
      <c r="E1123" s="270" t="s">
        <v>405</v>
      </c>
      <c r="F1123" s="271" t="s">
        <v>685</v>
      </c>
      <c r="K1123" s="160">
        <v>1</v>
      </c>
      <c r="L1123" s="159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14">
        <v>45731</v>
      </c>
      <c r="C1124" s="117" t="s">
        <v>257</v>
      </c>
      <c r="D1124" s="3" t="str">
        <f>VLOOKUP(C1124,'Location Summary'!$C$4:$D$678,2,0)</f>
        <v>DB1+6</v>
      </c>
      <c r="E1124" s="270" t="s">
        <v>405</v>
      </c>
      <c r="F1124" s="271" t="s">
        <v>685</v>
      </c>
      <c r="K1124" s="160">
        <v>1</v>
      </c>
      <c r="Q1124" s="160">
        <v>1</v>
      </c>
      <c r="R1124" s="159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14">
        <v>45732</v>
      </c>
      <c r="C1125" s="117" t="s">
        <v>1245</v>
      </c>
      <c r="D1125" s="3" t="str">
        <f>VLOOKUP(C1125,'Location Summary'!$C$4:$D$678,2,0)</f>
        <v>DA+0</v>
      </c>
      <c r="E1125" s="270" t="s">
        <v>405</v>
      </c>
      <c r="F1125" s="271" t="s">
        <v>685</v>
      </c>
      <c r="G1125" s="161">
        <v>1</v>
      </c>
      <c r="J1125" s="161">
        <v>1</v>
      </c>
      <c r="M1125" s="161">
        <v>1</v>
      </c>
      <c r="P1125" s="161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14">
        <v>45732</v>
      </c>
      <c r="C1126" s="117" t="s">
        <v>257</v>
      </c>
      <c r="D1126" s="3" t="str">
        <f>VLOOKUP(C1126,'Location Summary'!$C$4:$D$678,2,0)</f>
        <v>DB1+6</v>
      </c>
      <c r="E1126" s="270" t="s">
        <v>405</v>
      </c>
      <c r="F1126" s="271" t="s">
        <v>685</v>
      </c>
      <c r="L1126" s="159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14">
        <v>45733</v>
      </c>
      <c r="C1127" s="117" t="s">
        <v>1245</v>
      </c>
      <c r="D1127" s="3" t="str">
        <f>VLOOKUP(C1127,'Location Summary'!$C$4:$D$678,2,0)</f>
        <v>DA+0</v>
      </c>
      <c r="E1127" s="270" t="s">
        <v>405</v>
      </c>
      <c r="F1127" s="271" t="s">
        <v>685</v>
      </c>
      <c r="H1127" s="160">
        <v>1</v>
      </c>
      <c r="I1127" s="159">
        <v>1</v>
      </c>
      <c r="K1127" s="160">
        <v>1</v>
      </c>
      <c r="L1127" s="159">
        <v>1</v>
      </c>
      <c r="N1127" s="160">
        <v>1</v>
      </c>
      <c r="O1127" s="159">
        <v>1</v>
      </c>
      <c r="Q1127" s="160">
        <v>1</v>
      </c>
      <c r="R1127" s="159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14">
        <v>45733</v>
      </c>
      <c r="C1128" s="117" t="s">
        <v>459</v>
      </c>
      <c r="D1128" s="3" t="str">
        <f>VLOOKUP(C1128,'Location Summary'!$C$4:$D$678,2,0)</f>
        <v>DA+6</v>
      </c>
      <c r="E1128" s="270" t="s">
        <v>405</v>
      </c>
      <c r="F1128" s="271" t="s">
        <v>685</v>
      </c>
      <c r="J1128" s="161">
        <v>1</v>
      </c>
      <c r="M1128" s="161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14">
        <v>45734</v>
      </c>
      <c r="C1129" s="117" t="s">
        <v>459</v>
      </c>
      <c r="D1129" s="3" t="str">
        <f>VLOOKUP(C1129,'Location Summary'!$C$4:$D$678,2,0)</f>
        <v>DA+6</v>
      </c>
      <c r="E1129" s="270" t="s">
        <v>405</v>
      </c>
      <c r="F1129" s="271" t="s">
        <v>685</v>
      </c>
      <c r="K1129" s="160">
        <v>1</v>
      </c>
      <c r="L1129" s="159">
        <v>1</v>
      </c>
      <c r="N1129" s="160">
        <v>1</v>
      </c>
      <c r="O1129" s="159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14">
        <v>45735</v>
      </c>
      <c r="C1130" s="117" t="s">
        <v>459</v>
      </c>
      <c r="D1130" s="3" t="str">
        <f>VLOOKUP(C1130,'Location Summary'!$C$4:$D$678,2,0)</f>
        <v>DA+6</v>
      </c>
      <c r="E1130" s="270" t="s">
        <v>405</v>
      </c>
      <c r="F1130" s="271" t="s">
        <v>685</v>
      </c>
      <c r="G1130" s="161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14">
        <v>45735</v>
      </c>
      <c r="C1131" s="117" t="s">
        <v>1253</v>
      </c>
      <c r="D1131" s="3" t="str">
        <f>VLOOKUP(C1131,'Location Summary'!$C$4:$D$678,2,0)</f>
        <v>DA+3</v>
      </c>
      <c r="E1131" s="270" t="s">
        <v>405</v>
      </c>
      <c r="F1131" s="271" t="s">
        <v>685</v>
      </c>
      <c r="G1131" s="161">
        <v>1</v>
      </c>
      <c r="P1131" s="161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14">
        <v>45736</v>
      </c>
      <c r="C1132" s="117" t="s">
        <v>206</v>
      </c>
      <c r="D1132" s="3" t="str">
        <f>VLOOKUP(C1132,'Location Summary'!$C$4:$D$678,2,0)</f>
        <v>DA+9</v>
      </c>
      <c r="E1132" s="270" t="s">
        <v>405</v>
      </c>
      <c r="F1132" s="271" t="s">
        <v>311</v>
      </c>
      <c r="G1132" s="161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14">
        <v>45736</v>
      </c>
      <c r="C1133" s="117" t="s">
        <v>459</v>
      </c>
      <c r="D1133" s="3" t="str">
        <f>VLOOKUP(C1133,'Location Summary'!$C$4:$D$678,2,0)</f>
        <v>DA+6</v>
      </c>
      <c r="E1133" s="270" t="s">
        <v>405</v>
      </c>
      <c r="F1133" s="271" t="s">
        <v>685</v>
      </c>
      <c r="H1133" s="160">
        <v>1</v>
      </c>
      <c r="I1133" s="159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14">
        <v>45736</v>
      </c>
      <c r="C1134" s="117" t="s">
        <v>1253</v>
      </c>
      <c r="D1134" s="3" t="str">
        <f>VLOOKUP(C1134,'Location Summary'!$C$4:$D$678,2,0)</f>
        <v>DA+3</v>
      </c>
      <c r="E1134" s="270" t="s">
        <v>405</v>
      </c>
      <c r="F1134" s="271" t="s">
        <v>685</v>
      </c>
      <c r="H1134" s="160">
        <v>1</v>
      </c>
      <c r="J1134" s="161">
        <v>1</v>
      </c>
      <c r="M1134" s="161">
        <v>1</v>
      </c>
      <c r="Q1134" s="160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14">
        <v>45737</v>
      </c>
      <c r="C1135" s="117" t="s">
        <v>206</v>
      </c>
      <c r="D1135" s="3" t="str">
        <f>VLOOKUP(C1135,'Location Summary'!$C$4:$D$678,2,0)</f>
        <v>DA+9</v>
      </c>
      <c r="E1135" s="270" t="s">
        <v>405</v>
      </c>
      <c r="F1135" s="271" t="s">
        <v>311</v>
      </c>
      <c r="H1135" s="160">
        <v>1</v>
      </c>
      <c r="J1135" s="161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14">
        <v>45737</v>
      </c>
      <c r="C1136" s="117" t="s">
        <v>1253</v>
      </c>
      <c r="D1136" s="3" t="str">
        <f>VLOOKUP(C1136,'Location Summary'!$C$4:$D$678,2,0)</f>
        <v>DA+3</v>
      </c>
      <c r="E1136" s="270" t="s">
        <v>405</v>
      </c>
      <c r="F1136" s="271" t="s">
        <v>685</v>
      </c>
      <c r="I1136" s="159">
        <v>1</v>
      </c>
      <c r="N1136" s="160">
        <v>1</v>
      </c>
      <c r="R1136" s="159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14">
        <v>45737</v>
      </c>
      <c r="C1137" s="117" t="s">
        <v>1267</v>
      </c>
      <c r="D1137" s="3" t="str">
        <f>VLOOKUP(C1137,'Location Summary'!$C$4:$D$678,2,0)</f>
        <v>DA+9</v>
      </c>
      <c r="E1137" s="270" t="s">
        <v>405</v>
      </c>
      <c r="F1137" s="271" t="s">
        <v>311</v>
      </c>
      <c r="G1137" s="161">
        <v>1</v>
      </c>
      <c r="J1137" s="161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14">
        <v>45738</v>
      </c>
      <c r="C1138" s="117" t="s">
        <v>206</v>
      </c>
      <c r="D1138" s="3" t="str">
        <f>VLOOKUP(C1138,'Location Summary'!$C$4:$D$678,2,0)</f>
        <v>DA+9</v>
      </c>
      <c r="E1138" s="270" t="s">
        <v>405</v>
      </c>
      <c r="F1138" s="271" t="s">
        <v>311</v>
      </c>
      <c r="I1138" s="159">
        <v>1</v>
      </c>
      <c r="K1138" s="160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14">
        <v>45738</v>
      </c>
      <c r="C1139" s="117" t="s">
        <v>459</v>
      </c>
      <c r="D1139" s="3" t="str">
        <f>VLOOKUP(C1139,'Location Summary'!$C$4:$D$678,2,0)</f>
        <v>DA+6</v>
      </c>
      <c r="E1139" s="270" t="s">
        <v>405</v>
      </c>
      <c r="F1139" s="271" t="s">
        <v>685</v>
      </c>
      <c r="P1139" s="161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4">
        <v>45738</v>
      </c>
      <c r="C1140" s="117" t="s">
        <v>1254</v>
      </c>
      <c r="D1140" s="3" t="str">
        <f>VLOOKUP(C1140,'Location Summary'!$C$4:$D$678,2,0)</f>
        <v>DA+3</v>
      </c>
      <c r="E1140" s="270" t="s">
        <v>405</v>
      </c>
      <c r="F1140" s="271" t="s">
        <v>311</v>
      </c>
      <c r="G1140" s="161">
        <v>1</v>
      </c>
      <c r="J1140" s="161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14">
        <v>45738</v>
      </c>
      <c r="C1141" s="114" t="s">
        <v>1267</v>
      </c>
      <c r="D1141" s="3" t="str">
        <f>VLOOKUP(C1141,'Location Summary'!$C$4:$D$678,2,0)</f>
        <v>DA+9</v>
      </c>
      <c r="E1141" s="270" t="s">
        <v>405</v>
      </c>
      <c r="F1141" s="271" t="s">
        <v>311</v>
      </c>
      <c r="H1141" s="160">
        <v>1</v>
      </c>
      <c r="K1141" s="160">
        <v>1</v>
      </c>
      <c r="M1141" s="161">
        <v>1</v>
      </c>
      <c r="P1141" s="161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0" t="s">
        <v>405</v>
      </c>
      <c r="F1142" s="95" t="s">
        <v>311</v>
      </c>
      <c r="P1142" s="161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0" t="s">
        <v>405</v>
      </c>
      <c r="F1143" s="95" t="s">
        <v>685</v>
      </c>
      <c r="Q1143" s="160">
        <v>1</v>
      </c>
      <c r="R1143" s="159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0" t="s">
        <v>405</v>
      </c>
      <c r="F1144" s="95" t="s">
        <v>685</v>
      </c>
      <c r="K1144" s="160">
        <v>1</v>
      </c>
      <c r="L1144" s="159">
        <v>1</v>
      </c>
      <c r="O1144" s="159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0" t="s">
        <v>405</v>
      </c>
      <c r="F1145" s="95" t="s">
        <v>685</v>
      </c>
      <c r="N1145" s="160">
        <v>1</v>
      </c>
      <c r="O1145" s="159">
        <v>1</v>
      </c>
      <c r="Q1145" s="160">
        <v>1</v>
      </c>
      <c r="R1145" s="159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0" t="s">
        <v>405</v>
      </c>
      <c r="F1146" s="95" t="s">
        <v>311</v>
      </c>
      <c r="L1146" s="159">
        <v>1</v>
      </c>
      <c r="Q1146" s="160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0" t="s">
        <v>405</v>
      </c>
      <c r="F1147" s="95" t="s">
        <v>311</v>
      </c>
      <c r="G1147" s="161">
        <v>1</v>
      </c>
      <c r="M1147" s="161">
        <v>1</v>
      </c>
      <c r="P1147" s="161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0" t="s">
        <v>405</v>
      </c>
      <c r="F1148" s="95" t="s">
        <v>685</v>
      </c>
      <c r="H1148" s="160">
        <v>1</v>
      </c>
      <c r="M1148" s="161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0" t="s">
        <v>405</v>
      </c>
      <c r="F1149" s="95" t="s">
        <v>311</v>
      </c>
      <c r="H1149" s="160">
        <v>1</v>
      </c>
      <c r="I1149" s="159">
        <v>1</v>
      </c>
      <c r="J1149" s="161">
        <v>1</v>
      </c>
      <c r="N1149" s="160">
        <v>1</v>
      </c>
      <c r="O1149" s="159">
        <v>1</v>
      </c>
      <c r="Q1149" s="160">
        <v>1</v>
      </c>
      <c r="R1149" s="159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0" t="s">
        <v>405</v>
      </c>
      <c r="F1150" s="95" t="s">
        <v>685</v>
      </c>
      <c r="I1150" s="159">
        <v>1</v>
      </c>
      <c r="K1150" s="160">
        <v>1</v>
      </c>
      <c r="L1150" s="159">
        <v>1</v>
      </c>
      <c r="N1150" s="160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0" t="s">
        <v>405</v>
      </c>
      <c r="F1151" s="95" t="s">
        <v>685</v>
      </c>
      <c r="K1151" s="160">
        <v>1</v>
      </c>
      <c r="L1151" s="159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0" t="s">
        <v>405</v>
      </c>
      <c r="F1152" s="95" t="s">
        <v>685</v>
      </c>
      <c r="O1152" s="159">
        <v>1</v>
      </c>
      <c r="P1152" s="161">
        <v>1</v>
      </c>
      <c r="Q1152" s="160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0" t="s">
        <v>405</v>
      </c>
      <c r="F1153" s="95" t="s">
        <v>311</v>
      </c>
      <c r="I1153" s="159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0" t="s">
        <v>405</v>
      </c>
      <c r="F1154" s="95" t="s">
        <v>311</v>
      </c>
      <c r="G1154" s="161">
        <v>1</v>
      </c>
      <c r="J1154" s="161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0" t="s">
        <v>405</v>
      </c>
      <c r="F1155" s="95" t="s">
        <v>685</v>
      </c>
      <c r="R1155" s="159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0" t="s">
        <v>405</v>
      </c>
      <c r="F1156" s="95" t="s">
        <v>311</v>
      </c>
      <c r="M1156" s="161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0" t="s">
        <v>405</v>
      </c>
      <c r="F1157" s="95" t="s">
        <v>311</v>
      </c>
      <c r="H1157" s="160">
        <v>1</v>
      </c>
      <c r="I1157" s="159">
        <v>1</v>
      </c>
      <c r="K1157" s="160">
        <v>1</v>
      </c>
      <c r="L1157" s="159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0" t="s">
        <v>405</v>
      </c>
      <c r="F1158" s="95" t="s">
        <v>311</v>
      </c>
      <c r="J1158" s="161">
        <v>1</v>
      </c>
      <c r="M1158" s="161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0" t="s">
        <v>405</v>
      </c>
      <c r="F1159" s="95" t="s">
        <v>685</v>
      </c>
      <c r="G1159" s="161">
        <v>1</v>
      </c>
      <c r="M1159" s="161">
        <v>1</v>
      </c>
      <c r="P1159" s="161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0" t="s">
        <v>405</v>
      </c>
      <c r="F1160" s="95" t="s">
        <v>311</v>
      </c>
      <c r="L1160" s="159">
        <v>1</v>
      </c>
      <c r="N1160" s="160">
        <v>1</v>
      </c>
      <c r="O1160" s="159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0" t="s">
        <v>405</v>
      </c>
      <c r="F1161" s="95" t="s">
        <v>311</v>
      </c>
      <c r="P1161" s="161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0" t="s">
        <v>405</v>
      </c>
      <c r="F1162" s="95" t="s">
        <v>311</v>
      </c>
      <c r="G1162" s="161">
        <v>1</v>
      </c>
      <c r="K1162" s="160">
        <v>1</v>
      </c>
      <c r="L1162" s="159">
        <v>1</v>
      </c>
      <c r="P1162" s="161">
        <v>1</v>
      </c>
      <c r="Q1162" s="160">
        <v>1</v>
      </c>
      <c r="R1162" s="159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0" t="s">
        <v>405</v>
      </c>
      <c r="F1163" s="95" t="s">
        <v>685</v>
      </c>
      <c r="J1163" s="161">
        <v>1</v>
      </c>
      <c r="N1163" s="160">
        <v>1</v>
      </c>
      <c r="O1163" s="159">
        <v>1</v>
      </c>
      <c r="Q1163" s="160">
        <v>1</v>
      </c>
      <c r="R1163" s="159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0" t="s">
        <v>405</v>
      </c>
      <c r="F1164" s="95" t="s">
        <v>685</v>
      </c>
      <c r="O1164" s="159">
        <v>1</v>
      </c>
      <c r="R1164" s="159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0" t="s">
        <v>405</v>
      </c>
      <c r="F1165" s="95" t="s">
        <v>685</v>
      </c>
      <c r="H1165" s="160">
        <v>1</v>
      </c>
      <c r="I1165" s="159">
        <v>1</v>
      </c>
      <c r="Q1165" s="160">
        <v>1</v>
      </c>
      <c r="R1165" s="159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0" t="s">
        <v>405</v>
      </c>
      <c r="F1166" s="95" t="s">
        <v>685</v>
      </c>
      <c r="H1166" s="160">
        <v>1</v>
      </c>
      <c r="I1166" s="159">
        <v>1</v>
      </c>
      <c r="K1166" s="160">
        <v>1</v>
      </c>
      <c r="L1166" s="159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3" t="s">
        <v>674</v>
      </c>
      <c r="D1167" s="3" t="str">
        <f>VLOOKUP(C1167,'Location Summary'!$C$4:$D$678,2,0)</f>
        <v>DB1+12</v>
      </c>
      <c r="E1167" s="270" t="s">
        <v>405</v>
      </c>
      <c r="F1167" s="95" t="s">
        <v>685</v>
      </c>
      <c r="M1167" s="161">
        <v>1</v>
      </c>
      <c r="Q1167" s="160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3" t="s">
        <v>674</v>
      </c>
      <c r="D1168" s="3" t="str">
        <f>VLOOKUP(C1168,'Location Summary'!$C$4:$D$678,2,0)</f>
        <v>DB1+12</v>
      </c>
      <c r="E1168" s="270" t="s">
        <v>405</v>
      </c>
      <c r="F1168" s="95" t="s">
        <v>685</v>
      </c>
      <c r="N1168" s="160">
        <v>1</v>
      </c>
      <c r="O1168" s="159">
        <v>1</v>
      </c>
      <c r="R1168" s="159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0" t="s">
        <v>405</v>
      </c>
      <c r="F1169" s="95" t="s">
        <v>311</v>
      </c>
      <c r="G1169" s="161">
        <v>1</v>
      </c>
      <c r="J1169" s="161">
        <v>1</v>
      </c>
      <c r="M1169" s="161">
        <v>1</v>
      </c>
      <c r="P1169" s="161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0" t="s">
        <v>405</v>
      </c>
      <c r="F1170" s="95" t="s">
        <v>311</v>
      </c>
      <c r="G1170" s="161">
        <v>1</v>
      </c>
      <c r="J1170" s="161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0" t="s">
        <v>405</v>
      </c>
      <c r="F1171" s="95" t="s">
        <v>311</v>
      </c>
      <c r="H1171" s="160">
        <v>1</v>
      </c>
      <c r="K1171" s="160">
        <v>1</v>
      </c>
      <c r="N1171" s="160">
        <v>1</v>
      </c>
      <c r="Q1171" s="160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3" t="s">
        <v>1256</v>
      </c>
      <c r="D1172" s="3" t="str">
        <f>VLOOKUP(C1172,'Location Summary'!$C$4:$D$678,2,0)</f>
        <v>DA+3</v>
      </c>
      <c r="E1172" s="270" t="s">
        <v>405</v>
      </c>
      <c r="F1172" s="95" t="s">
        <v>311</v>
      </c>
      <c r="H1172" s="160">
        <v>1</v>
      </c>
      <c r="I1172" s="159">
        <v>1</v>
      </c>
      <c r="K1172" s="160">
        <v>1</v>
      </c>
      <c r="L1172" s="159">
        <v>1</v>
      </c>
      <c r="M1172" s="161">
        <v>1</v>
      </c>
      <c r="P1172" s="161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0" t="s">
        <v>405</v>
      </c>
      <c r="F1173" s="95" t="s">
        <v>685</v>
      </c>
      <c r="I1173" s="159">
        <v>1</v>
      </c>
      <c r="L1173" s="159">
        <v>1</v>
      </c>
      <c r="O1173" s="159">
        <v>1</v>
      </c>
      <c r="R1173" s="159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3" t="s">
        <v>1256</v>
      </c>
      <c r="D1174" s="3" t="str">
        <f>VLOOKUP(C1174,'Location Summary'!$C$4:$D$678,2,0)</f>
        <v>DA+3</v>
      </c>
      <c r="E1174" s="270" t="s">
        <v>405</v>
      </c>
      <c r="F1174" s="95" t="s">
        <v>311</v>
      </c>
      <c r="N1174" s="160">
        <v>1</v>
      </c>
      <c r="Q1174" s="160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0" t="s">
        <v>405</v>
      </c>
      <c r="F1175" s="95" t="s">
        <v>311</v>
      </c>
      <c r="P1175" s="161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0" t="s">
        <v>405</v>
      </c>
      <c r="F1176" s="95" t="s">
        <v>311</v>
      </c>
      <c r="G1176" s="161">
        <v>1</v>
      </c>
      <c r="Q1176" s="160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0" t="s">
        <v>405</v>
      </c>
      <c r="F1177" s="95" t="s">
        <v>685</v>
      </c>
      <c r="P1177" s="161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0" t="s">
        <v>405</v>
      </c>
      <c r="F1178" s="95" t="s">
        <v>685</v>
      </c>
      <c r="O1178" s="159">
        <v>1</v>
      </c>
      <c r="R1178" s="159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0" t="s">
        <v>405</v>
      </c>
      <c r="F1179" s="95" t="s">
        <v>311</v>
      </c>
      <c r="M1179" s="161">
        <v>1</v>
      </c>
      <c r="P1179" s="161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0" t="s">
        <v>405</v>
      </c>
      <c r="F1180" s="95" t="s">
        <v>311</v>
      </c>
      <c r="H1180" s="160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0" t="s">
        <v>405</v>
      </c>
      <c r="F1181" s="95" t="s">
        <v>685</v>
      </c>
      <c r="G1181" s="161">
        <v>1</v>
      </c>
      <c r="M1181" s="161">
        <v>1</v>
      </c>
      <c r="P1181" s="161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3" t="s">
        <v>11</v>
      </c>
      <c r="D1182" s="3" t="str">
        <f>VLOOKUP(C1182,'Location Summary'!$C$4:$D$678,2,0)</f>
        <v>DD60+18</v>
      </c>
      <c r="E1182" s="270" t="s">
        <v>405</v>
      </c>
      <c r="F1182" s="95" t="s">
        <v>685</v>
      </c>
      <c r="R1182" s="159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0" t="s">
        <v>405</v>
      </c>
      <c r="F1183" s="95" t="s">
        <v>311</v>
      </c>
      <c r="G1183" s="161">
        <v>1</v>
      </c>
      <c r="J1183" s="161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1" t="s">
        <v>405</v>
      </c>
      <c r="F1184" s="95" t="s">
        <v>685</v>
      </c>
      <c r="H1184" s="160">
        <v>1</v>
      </c>
      <c r="I1184" s="159">
        <v>1</v>
      </c>
      <c r="J1184" s="161">
        <v>1</v>
      </c>
      <c r="N1184" s="160">
        <v>1</v>
      </c>
      <c r="O1184" s="159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1" t="s">
        <v>405</v>
      </c>
      <c r="F1185" s="95" t="s">
        <v>685</v>
      </c>
      <c r="M1185" s="161">
        <v>1</v>
      </c>
      <c r="R1185" s="159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1" t="s">
        <v>405</v>
      </c>
      <c r="F1186" s="95" t="s">
        <v>311</v>
      </c>
      <c r="H1186" s="160">
        <v>1</v>
      </c>
      <c r="K1186" s="160">
        <v>1</v>
      </c>
      <c r="N1186" s="160">
        <v>1</v>
      </c>
      <c r="O1186" s="159">
        <v>1</v>
      </c>
      <c r="Q1186" s="160">
        <v>1</v>
      </c>
      <c r="R1186" s="159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1" t="s">
        <v>405</v>
      </c>
      <c r="F1187" s="95" t="s">
        <v>685</v>
      </c>
      <c r="I1187" s="159">
        <v>1</v>
      </c>
      <c r="M1187" s="161">
        <v>1</v>
      </c>
      <c r="R1187" s="159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1" t="s">
        <v>405</v>
      </c>
      <c r="F1188" s="95" t="s">
        <v>685</v>
      </c>
      <c r="K1188" s="160">
        <v>1</v>
      </c>
      <c r="L1188" s="159">
        <v>1</v>
      </c>
      <c r="Q1188" s="160">
        <v>1</v>
      </c>
      <c r="R1188" s="159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0" t="s">
        <v>405</v>
      </c>
      <c r="F1189" s="95" t="s">
        <v>685</v>
      </c>
      <c r="I1189" s="159">
        <v>1</v>
      </c>
      <c r="L1189" s="159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1" t="s">
        <v>405</v>
      </c>
      <c r="F1190" s="95" t="s">
        <v>685</v>
      </c>
      <c r="I1190" s="159">
        <v>0.5</v>
      </c>
      <c r="L1190" s="159">
        <v>0.5</v>
      </c>
      <c r="O1190" s="159">
        <v>0.5</v>
      </c>
      <c r="R1190" s="159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1" t="s">
        <v>405</v>
      </c>
      <c r="F1191" s="95" t="s">
        <v>311</v>
      </c>
      <c r="G1191" s="161">
        <v>1</v>
      </c>
      <c r="H1191" s="160">
        <v>1</v>
      </c>
      <c r="J1191" s="161">
        <v>1</v>
      </c>
      <c r="K1191" s="160">
        <v>1</v>
      </c>
      <c r="M1191" s="161">
        <v>1</v>
      </c>
      <c r="P1191" s="161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1" t="s">
        <v>405</v>
      </c>
      <c r="F1192" s="95" t="s">
        <v>685</v>
      </c>
      <c r="O1192" s="159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1" t="s">
        <v>405</v>
      </c>
      <c r="F1193" s="95" t="s">
        <v>685</v>
      </c>
      <c r="I1193" s="159">
        <v>1</v>
      </c>
      <c r="L1193" s="159">
        <v>1</v>
      </c>
      <c r="N1193" s="160">
        <v>1</v>
      </c>
      <c r="O1193" s="159">
        <v>1</v>
      </c>
      <c r="Q1193" s="160">
        <v>1</v>
      </c>
      <c r="R1193" s="159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1" t="s">
        <v>405</v>
      </c>
      <c r="F1194" s="95" t="s">
        <v>685</v>
      </c>
      <c r="J1194" s="161">
        <v>1</v>
      </c>
      <c r="K1194" s="160">
        <v>1</v>
      </c>
      <c r="N1194" s="160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1" t="s">
        <v>405</v>
      </c>
      <c r="F1195" s="95" t="s">
        <v>685</v>
      </c>
      <c r="J1195" s="161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1" t="s">
        <v>405</v>
      </c>
      <c r="F1196" s="95" t="s">
        <v>685</v>
      </c>
      <c r="G1196" s="161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1" t="s">
        <v>405</v>
      </c>
      <c r="F1197" s="95" t="s">
        <v>685</v>
      </c>
      <c r="G1197" s="161">
        <v>1</v>
      </c>
      <c r="J1197" s="161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1" t="s">
        <v>405</v>
      </c>
      <c r="F1198" s="95" t="s">
        <v>685</v>
      </c>
      <c r="G1198" s="161">
        <v>1</v>
      </c>
      <c r="J1198" s="161">
        <v>1</v>
      </c>
      <c r="M1198" s="161">
        <v>1</v>
      </c>
      <c r="P1198" s="161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1" t="s">
        <v>405</v>
      </c>
      <c r="F1199" s="95" t="s">
        <v>685</v>
      </c>
      <c r="I1199" s="159">
        <v>0.5</v>
      </c>
      <c r="L1199" s="159">
        <v>0.5</v>
      </c>
      <c r="O1199" s="159">
        <v>0.5</v>
      </c>
      <c r="R1199" s="159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1" t="s">
        <v>405</v>
      </c>
      <c r="F1200" s="95" t="s">
        <v>685</v>
      </c>
      <c r="L1200" s="159">
        <v>1</v>
      </c>
      <c r="O1200" s="159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1" t="s">
        <v>405</v>
      </c>
      <c r="F1201" s="95" t="s">
        <v>685</v>
      </c>
      <c r="H1201" s="160">
        <v>1</v>
      </c>
      <c r="K1201" s="160">
        <v>1</v>
      </c>
      <c r="M1201" s="161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1" t="s">
        <v>405</v>
      </c>
      <c r="F1202" s="95" t="s">
        <v>685</v>
      </c>
      <c r="H1202" s="160">
        <v>1</v>
      </c>
      <c r="I1202" s="159">
        <v>1</v>
      </c>
      <c r="K1202" s="160">
        <v>1</v>
      </c>
      <c r="L1202" s="159">
        <v>1</v>
      </c>
      <c r="N1202" s="160">
        <v>1</v>
      </c>
      <c r="O1202" s="159">
        <v>1</v>
      </c>
      <c r="Q1202" s="160">
        <v>1</v>
      </c>
      <c r="R1202" s="159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1" t="s">
        <v>405</v>
      </c>
      <c r="F1203" s="95" t="s">
        <v>311</v>
      </c>
      <c r="J1203" s="161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1" t="s">
        <v>405</v>
      </c>
      <c r="F1204" s="95" t="s">
        <v>311</v>
      </c>
      <c r="G1204" s="161">
        <v>1</v>
      </c>
      <c r="K1204" s="160">
        <v>1</v>
      </c>
      <c r="L1204" s="159">
        <v>1</v>
      </c>
      <c r="P1204" s="161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1" t="s">
        <v>405</v>
      </c>
      <c r="F1205" s="95" t="s">
        <v>685</v>
      </c>
      <c r="P1205" s="161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1" t="s">
        <v>405</v>
      </c>
      <c r="F1206" s="95" t="s">
        <v>685</v>
      </c>
      <c r="I1206" s="159">
        <v>0.5</v>
      </c>
      <c r="J1206" s="161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1" t="s">
        <v>405</v>
      </c>
      <c r="F1207" s="95" t="s">
        <v>685</v>
      </c>
      <c r="H1207" s="160">
        <v>1</v>
      </c>
      <c r="I1207" s="159">
        <v>1</v>
      </c>
      <c r="M1207" s="161">
        <v>1</v>
      </c>
      <c r="Q1207" s="160">
        <v>1</v>
      </c>
      <c r="R1207" s="159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1" t="s">
        <v>405</v>
      </c>
      <c r="F1208" s="95" t="s">
        <v>685</v>
      </c>
      <c r="L1208" s="159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1" t="s">
        <v>405</v>
      </c>
      <c r="F1209" s="95" t="s">
        <v>685</v>
      </c>
      <c r="G1209" s="161">
        <v>1</v>
      </c>
      <c r="J1209" s="161">
        <v>1</v>
      </c>
      <c r="M1209" s="161">
        <v>1</v>
      </c>
      <c r="P1209" s="161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1" t="s">
        <v>405</v>
      </c>
      <c r="F1210" s="95" t="s">
        <v>685</v>
      </c>
      <c r="I1210" s="159">
        <v>0.5</v>
      </c>
      <c r="L1210" s="159">
        <v>0.5</v>
      </c>
      <c r="O1210" s="159">
        <v>0.5</v>
      </c>
      <c r="R1210" s="159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1" t="s">
        <v>405</v>
      </c>
      <c r="F1211" s="95" t="s">
        <v>685</v>
      </c>
      <c r="N1211" s="160">
        <v>1</v>
      </c>
      <c r="O1211" s="159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1" t="s">
        <v>405</v>
      </c>
      <c r="F1212" s="95" t="s">
        <v>685</v>
      </c>
      <c r="L1212" s="159">
        <v>1</v>
      </c>
      <c r="R1212" s="159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1" t="s">
        <v>405</v>
      </c>
      <c r="F1213" s="95" t="s">
        <v>685</v>
      </c>
      <c r="I1213" s="159">
        <v>0.5</v>
      </c>
      <c r="O1213" s="159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1" t="s">
        <v>405</v>
      </c>
      <c r="F1214" s="95" t="s">
        <v>685</v>
      </c>
      <c r="H1214" s="160">
        <v>1</v>
      </c>
      <c r="I1214" s="159">
        <v>1</v>
      </c>
      <c r="K1214" s="160">
        <v>1</v>
      </c>
      <c r="L1214" s="159">
        <v>1</v>
      </c>
      <c r="N1214" s="160">
        <v>1</v>
      </c>
      <c r="O1214" s="159">
        <v>1</v>
      </c>
      <c r="Q1214" s="160">
        <v>1</v>
      </c>
      <c r="R1214" s="159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1" t="s">
        <v>405</v>
      </c>
      <c r="F1215" s="95" t="s">
        <v>685</v>
      </c>
      <c r="G1215" s="161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1" t="s">
        <v>405</v>
      </c>
      <c r="F1216" s="95" t="s">
        <v>685</v>
      </c>
      <c r="L1216" s="159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1" t="s">
        <v>405</v>
      </c>
      <c r="F1217" s="95" t="s">
        <v>685</v>
      </c>
      <c r="M1217" s="161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1" t="s">
        <v>405</v>
      </c>
      <c r="F1218" s="95" t="s">
        <v>685</v>
      </c>
      <c r="I1218" s="159">
        <v>0.5</v>
      </c>
      <c r="L1218" s="159">
        <v>0.5</v>
      </c>
      <c r="O1218" s="159">
        <v>0.5</v>
      </c>
      <c r="R1218" s="159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1" t="s">
        <v>405</v>
      </c>
      <c r="F1219" s="95" t="s">
        <v>685</v>
      </c>
      <c r="I1219" s="159">
        <v>1</v>
      </c>
      <c r="O1219" s="159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1" t="s">
        <v>405</v>
      </c>
      <c r="F1220" s="95" t="s">
        <v>685</v>
      </c>
      <c r="G1220" s="161">
        <v>1</v>
      </c>
      <c r="J1220" s="161">
        <v>1</v>
      </c>
      <c r="M1220" s="161">
        <v>1</v>
      </c>
      <c r="P1220" s="161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1" t="s">
        <v>405</v>
      </c>
      <c r="F1221" s="95" t="s">
        <v>685</v>
      </c>
      <c r="H1221" s="160">
        <v>1</v>
      </c>
      <c r="I1221" s="159">
        <v>1</v>
      </c>
      <c r="K1221" s="160">
        <v>1</v>
      </c>
      <c r="L1221" s="159">
        <v>1</v>
      </c>
      <c r="N1221" s="160">
        <v>1</v>
      </c>
      <c r="O1221" s="159">
        <v>1</v>
      </c>
      <c r="Q1221" s="160">
        <v>1</v>
      </c>
      <c r="R1221" s="159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1" t="s">
        <v>405</v>
      </c>
      <c r="F1222" s="95" t="s">
        <v>685</v>
      </c>
      <c r="M1222" s="161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1" t="s">
        <v>405</v>
      </c>
      <c r="F1223" s="95" t="s">
        <v>685</v>
      </c>
      <c r="I1223" s="159">
        <v>1</v>
      </c>
      <c r="L1223" s="159">
        <v>1</v>
      </c>
      <c r="P1223" s="161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3" t="s">
        <v>180</v>
      </c>
      <c r="D1224" s="3" t="str">
        <f>VLOOKUP(C1224,'Location Summary'!$C$4:$D$678,2,0)</f>
        <v>DA+6</v>
      </c>
      <c r="E1224" s="121" t="s">
        <v>405</v>
      </c>
      <c r="F1224" s="95" t="s">
        <v>685</v>
      </c>
      <c r="J1224" s="161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1" t="s">
        <v>405</v>
      </c>
      <c r="F1225" s="95" t="s">
        <v>685</v>
      </c>
      <c r="G1225" s="161">
        <v>1</v>
      </c>
      <c r="P1225" s="161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1" t="s">
        <v>405</v>
      </c>
      <c r="F1226" s="95" t="s">
        <v>685</v>
      </c>
      <c r="N1226" s="160">
        <v>1</v>
      </c>
      <c r="O1226" s="159">
        <v>1</v>
      </c>
      <c r="P1226" s="161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1" t="s">
        <v>405</v>
      </c>
      <c r="F1227" s="95" t="s">
        <v>685</v>
      </c>
      <c r="N1227" s="160">
        <v>1</v>
      </c>
      <c r="Q1227" s="160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1" t="s">
        <v>405</v>
      </c>
      <c r="F1228" s="95" t="s">
        <v>685</v>
      </c>
      <c r="H1228" s="160">
        <v>1</v>
      </c>
      <c r="I1228" s="159">
        <v>1</v>
      </c>
      <c r="J1228" s="161">
        <v>1</v>
      </c>
      <c r="M1228" s="161">
        <v>1</v>
      </c>
      <c r="Q1228" s="160">
        <v>1</v>
      </c>
      <c r="R1228" s="159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1" t="s">
        <v>405</v>
      </c>
      <c r="F1229" s="95" t="s">
        <v>685</v>
      </c>
      <c r="O1229" s="159">
        <v>1</v>
      </c>
      <c r="R1229" s="159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1" t="s">
        <v>405</v>
      </c>
      <c r="F1230" s="95" t="s">
        <v>685</v>
      </c>
      <c r="G1230" s="161">
        <v>1</v>
      </c>
      <c r="P1230" s="161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1" t="s">
        <v>405</v>
      </c>
      <c r="F1231" s="95" t="s">
        <v>311</v>
      </c>
      <c r="G1231" s="161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1" t="s">
        <v>405</v>
      </c>
      <c r="F1232" s="95" t="s">
        <v>685</v>
      </c>
      <c r="G1232" s="161">
        <v>1</v>
      </c>
      <c r="J1232" s="161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1" t="s">
        <v>405</v>
      </c>
      <c r="F1233" s="95" t="s">
        <v>685</v>
      </c>
      <c r="K1233" s="160">
        <v>1</v>
      </c>
      <c r="L1233" s="159">
        <v>1</v>
      </c>
      <c r="N1233" s="160">
        <v>1</v>
      </c>
      <c r="O1233" s="159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1" t="s">
        <v>405</v>
      </c>
      <c r="F1234" s="95" t="s">
        <v>685</v>
      </c>
      <c r="G1234" s="161">
        <v>1</v>
      </c>
      <c r="Q1234" s="160">
        <v>1</v>
      </c>
      <c r="R1234" s="159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1" t="s">
        <v>405</v>
      </c>
      <c r="F1235" s="95" t="s">
        <v>685</v>
      </c>
      <c r="H1235" s="160">
        <v>1</v>
      </c>
      <c r="I1235" s="159">
        <v>1</v>
      </c>
      <c r="K1235" s="160">
        <v>1</v>
      </c>
      <c r="L1235" s="159">
        <v>1</v>
      </c>
      <c r="M1235" s="161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1" t="s">
        <v>405</v>
      </c>
      <c r="F1236" s="95" t="s">
        <v>685</v>
      </c>
      <c r="H1236" s="160">
        <v>1</v>
      </c>
      <c r="K1236" s="160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1" t="s">
        <v>405</v>
      </c>
      <c r="F1237" s="95" t="s">
        <v>685</v>
      </c>
      <c r="I1237" s="159">
        <v>1</v>
      </c>
      <c r="L1237" s="159">
        <v>1</v>
      </c>
      <c r="M1237" s="161">
        <v>1</v>
      </c>
      <c r="P1237" s="161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1" t="s">
        <v>405</v>
      </c>
      <c r="F1238" s="95" t="s">
        <v>685</v>
      </c>
      <c r="H1238" s="160">
        <v>1</v>
      </c>
      <c r="I1238" s="159">
        <v>1</v>
      </c>
      <c r="J1238" s="161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1" t="s">
        <v>405</v>
      </c>
      <c r="F1239" s="95" t="s">
        <v>685</v>
      </c>
      <c r="N1239" s="160">
        <v>1</v>
      </c>
      <c r="O1239" s="159">
        <v>1</v>
      </c>
      <c r="Q1239" s="160">
        <v>1</v>
      </c>
      <c r="R1239" s="159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1" t="s">
        <v>405</v>
      </c>
      <c r="F1240" s="95" t="s">
        <v>685</v>
      </c>
      <c r="K1240" s="160">
        <v>1</v>
      </c>
      <c r="L1240" s="159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1" t="s">
        <v>405</v>
      </c>
      <c r="F1241" s="95" t="s">
        <v>685</v>
      </c>
      <c r="N1241" s="160">
        <v>1</v>
      </c>
      <c r="O1241" s="159">
        <v>1</v>
      </c>
      <c r="Q1241" s="160">
        <v>1</v>
      </c>
      <c r="R1241" s="159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1" t="s">
        <v>405</v>
      </c>
      <c r="F1242" s="95" t="s">
        <v>685</v>
      </c>
      <c r="J1242" s="161">
        <v>1</v>
      </c>
      <c r="M1242" s="161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1" t="s">
        <v>405</v>
      </c>
      <c r="F1243" s="95" t="s">
        <v>685</v>
      </c>
      <c r="K1243" s="160">
        <v>1</v>
      </c>
      <c r="L1243" s="159">
        <v>1</v>
      </c>
      <c r="N1243" s="160">
        <v>1</v>
      </c>
      <c r="O1243" s="159">
        <v>1</v>
      </c>
      <c r="P1243" s="161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1" t="s">
        <v>405</v>
      </c>
      <c r="F1244" s="95" t="s">
        <v>685</v>
      </c>
      <c r="G1244" s="161">
        <v>1</v>
      </c>
      <c r="Q1244" s="160">
        <v>1</v>
      </c>
      <c r="R1244" s="159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1" t="s">
        <v>405</v>
      </c>
      <c r="F1245" s="95" t="s">
        <v>685</v>
      </c>
      <c r="H1245" s="160">
        <v>1</v>
      </c>
      <c r="I1245" s="159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3" t="s">
        <v>263</v>
      </c>
      <c r="D1246" s="3" t="str">
        <f>VLOOKUP(C1246,'Location Summary'!$C$4:$D$678,2,0)</f>
        <v>DB1+12</v>
      </c>
      <c r="E1246" s="121" t="s">
        <v>405</v>
      </c>
      <c r="F1246" s="95" t="s">
        <v>311</v>
      </c>
      <c r="H1246" s="160">
        <v>1</v>
      </c>
      <c r="I1246" s="159">
        <v>1</v>
      </c>
      <c r="M1246" s="161">
        <v>1</v>
      </c>
      <c r="P1246" s="161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1" t="s">
        <v>405</v>
      </c>
      <c r="F1247" s="95" t="s">
        <v>685</v>
      </c>
      <c r="M1247" s="161">
        <v>1</v>
      </c>
      <c r="N1247" s="160">
        <v>1</v>
      </c>
      <c r="O1247" s="159">
        <v>1</v>
      </c>
      <c r="P1247" s="161">
        <v>1</v>
      </c>
      <c r="Q1247" s="160">
        <v>1</v>
      </c>
      <c r="R1247" s="159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3" t="s">
        <v>263</v>
      </c>
      <c r="D1248" s="3" t="str">
        <f>VLOOKUP(C1248,'Location Summary'!$C$4:$D$678,2,0)</f>
        <v>DB1+12</v>
      </c>
      <c r="E1248" s="121" t="s">
        <v>405</v>
      </c>
      <c r="F1248" s="95" t="s">
        <v>685</v>
      </c>
      <c r="N1248" s="160">
        <v>1</v>
      </c>
      <c r="O1248" s="159">
        <v>1</v>
      </c>
      <c r="Q1248" s="160">
        <v>1</v>
      </c>
      <c r="R1248" s="159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1" t="s">
        <v>405</v>
      </c>
      <c r="F1249" s="95" t="s">
        <v>685</v>
      </c>
      <c r="J1249" s="161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1" t="s">
        <v>405</v>
      </c>
      <c r="F1250" s="95" t="s">
        <v>685</v>
      </c>
      <c r="G1250" s="161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1" t="s">
        <v>405</v>
      </c>
      <c r="F1251" s="95" t="s">
        <v>685</v>
      </c>
      <c r="G1251" s="161">
        <v>1</v>
      </c>
      <c r="H1251" s="160">
        <v>1</v>
      </c>
      <c r="I1251" s="159">
        <v>1</v>
      </c>
      <c r="K1251" s="160">
        <v>1</v>
      </c>
      <c r="L1251" s="159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1" t="s">
        <v>405</v>
      </c>
      <c r="F1252" s="95" t="s">
        <v>685</v>
      </c>
      <c r="H1252" s="160">
        <v>1</v>
      </c>
      <c r="I1252" s="159">
        <v>1</v>
      </c>
      <c r="J1252" s="161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3" t="s">
        <v>263</v>
      </c>
      <c r="D1253" s="3" t="str">
        <f>VLOOKUP(C1253,'Location Summary'!$C$4:$D$678,2,0)</f>
        <v>DB1+12</v>
      </c>
      <c r="E1253" s="121" t="s">
        <v>405</v>
      </c>
      <c r="F1253" s="95" t="s">
        <v>685</v>
      </c>
      <c r="J1253" s="161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1" t="s">
        <v>405</v>
      </c>
      <c r="F1254" s="95" t="s">
        <v>685</v>
      </c>
      <c r="K1254" s="160">
        <v>1</v>
      </c>
      <c r="L1254" s="159">
        <v>1</v>
      </c>
      <c r="M1254" s="161">
        <v>1</v>
      </c>
      <c r="P1254" s="161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3" t="s">
        <v>263</v>
      </c>
      <c r="D1255" s="3" t="str">
        <f>VLOOKUP(C1255,'Location Summary'!$C$4:$D$678,2,0)</f>
        <v>DB1+12</v>
      </c>
      <c r="E1255" s="121" t="s">
        <v>405</v>
      </c>
      <c r="F1255" s="95" t="s">
        <v>685</v>
      </c>
      <c r="K1255" s="160">
        <v>1</v>
      </c>
      <c r="L1255" s="159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1" t="s">
        <v>405</v>
      </c>
      <c r="F1256" s="95" t="s">
        <v>685</v>
      </c>
      <c r="G1256" s="161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1" t="s">
        <v>405</v>
      </c>
      <c r="F1257" s="95" t="s">
        <v>685</v>
      </c>
      <c r="N1257" s="160">
        <v>1</v>
      </c>
      <c r="Q1257" s="160">
        <v>1</v>
      </c>
      <c r="R1257" s="159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1" t="s">
        <v>405</v>
      </c>
      <c r="F1258" s="95" t="s">
        <v>685</v>
      </c>
      <c r="H1258" s="160">
        <v>1</v>
      </c>
      <c r="M1258" s="161">
        <v>1</v>
      </c>
      <c r="P1258" s="161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1" t="s">
        <v>405</v>
      </c>
      <c r="F1259" s="95" t="s">
        <v>685</v>
      </c>
      <c r="O1259" s="159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1" t="s">
        <v>405</v>
      </c>
      <c r="F1260" s="95" t="s">
        <v>685</v>
      </c>
      <c r="M1260" s="161">
        <v>1</v>
      </c>
      <c r="P1260" s="161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1" t="s">
        <v>405</v>
      </c>
      <c r="F1261" s="95" t="s">
        <v>685</v>
      </c>
      <c r="G1261" s="161">
        <v>1</v>
      </c>
      <c r="J1261" s="161">
        <v>1</v>
      </c>
      <c r="N1261" s="160">
        <v>1</v>
      </c>
      <c r="O1261" s="159">
        <v>1</v>
      </c>
      <c r="Q1261" s="160">
        <v>1</v>
      </c>
      <c r="R1261" s="159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3" t="s">
        <v>428</v>
      </c>
      <c r="D1262" s="3" t="str">
        <f>VLOOKUP(C1262,'Location Summary'!$C$4:$D$678,2,0)</f>
        <v>DA-3</v>
      </c>
      <c r="E1262" s="121" t="s">
        <v>405</v>
      </c>
      <c r="F1262" s="95" t="s">
        <v>685</v>
      </c>
      <c r="Q1262" s="160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1" t="s">
        <v>405</v>
      </c>
      <c r="F1263" s="95" t="s">
        <v>685</v>
      </c>
      <c r="H1263" s="160">
        <v>1</v>
      </c>
      <c r="I1263" s="159">
        <v>1</v>
      </c>
      <c r="K1263" s="160">
        <v>1</v>
      </c>
      <c r="L1263" s="159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1" t="s">
        <v>405</v>
      </c>
      <c r="F1264" s="95" t="s">
        <v>685</v>
      </c>
      <c r="G1264" s="161">
        <v>1</v>
      </c>
      <c r="P1264" s="161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1" t="s">
        <v>405</v>
      </c>
      <c r="F1265" s="95" t="s">
        <v>685</v>
      </c>
      <c r="I1265" s="159">
        <v>1</v>
      </c>
      <c r="J1265" s="161">
        <v>1</v>
      </c>
      <c r="R1265" s="159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1" t="s">
        <v>405</v>
      </c>
      <c r="F1266" s="95" t="s">
        <v>685</v>
      </c>
      <c r="K1266" s="160">
        <v>1</v>
      </c>
      <c r="L1266" s="159">
        <v>1</v>
      </c>
      <c r="N1266" s="160">
        <v>1</v>
      </c>
      <c r="O1266" s="159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1" t="s">
        <v>405</v>
      </c>
      <c r="F1267" s="95" t="s">
        <v>685</v>
      </c>
      <c r="H1267" s="160">
        <v>1</v>
      </c>
      <c r="Q1267" s="160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1" t="s">
        <v>405</v>
      </c>
      <c r="F1268" s="95" t="s">
        <v>685</v>
      </c>
      <c r="G1268" s="161">
        <v>1</v>
      </c>
      <c r="J1268" s="161">
        <v>1</v>
      </c>
      <c r="M1268" s="161">
        <v>1</v>
      </c>
      <c r="P1268" s="161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1" t="s">
        <v>405</v>
      </c>
      <c r="F1269" s="95" t="s">
        <v>685</v>
      </c>
      <c r="I1269" s="159">
        <v>1</v>
      </c>
      <c r="J1269" s="161">
        <v>1</v>
      </c>
      <c r="R1269" s="159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1" t="s">
        <v>405</v>
      </c>
      <c r="F1270" s="95" t="s">
        <v>685</v>
      </c>
      <c r="K1270" s="160">
        <v>1</v>
      </c>
      <c r="M1270" s="161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1" t="s">
        <v>405</v>
      </c>
      <c r="F1271" s="95" t="s">
        <v>685</v>
      </c>
      <c r="K1271" s="160">
        <v>1</v>
      </c>
      <c r="L1271" s="159">
        <v>1</v>
      </c>
      <c r="N1271" s="160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1" t="s">
        <v>405</v>
      </c>
      <c r="F1272" s="95" t="s">
        <v>685</v>
      </c>
      <c r="O1272" s="159">
        <v>1</v>
      </c>
      <c r="Q1272" s="160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3" t="s">
        <v>54</v>
      </c>
      <c r="D1273" s="3" t="str">
        <f>VLOOKUP(C1273,'Location Summary'!$C$4:$D$678,2,0)</f>
        <v>DB1+0</v>
      </c>
      <c r="E1273" s="121" t="s">
        <v>405</v>
      </c>
      <c r="F1273" s="95" t="s">
        <v>685</v>
      </c>
      <c r="L1273" s="159">
        <v>1</v>
      </c>
      <c r="N1273" s="160">
        <v>1</v>
      </c>
      <c r="O1273" s="159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3" t="s">
        <v>427</v>
      </c>
      <c r="D1274" s="3" t="str">
        <f>VLOOKUP(C1274,'Location Summary'!$C$4:$D$678,2,0)</f>
        <v>DA+0</v>
      </c>
      <c r="E1274" s="121" t="s">
        <v>405</v>
      </c>
      <c r="F1274" s="95" t="s">
        <v>685</v>
      </c>
      <c r="H1274" s="160">
        <v>1</v>
      </c>
      <c r="I1274" s="159">
        <v>1</v>
      </c>
      <c r="R1274" s="159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3" t="s">
        <v>177</v>
      </c>
      <c r="D1275" s="3" t="str">
        <f>VLOOKUP(C1275,'Location Summary'!$C$4:$D$678,2,0)</f>
        <v>DA+3</v>
      </c>
      <c r="E1275" s="121" t="s">
        <v>405</v>
      </c>
      <c r="F1275" s="95" t="s">
        <v>685</v>
      </c>
      <c r="G1275" s="161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3" t="s">
        <v>177</v>
      </c>
      <c r="D1276" s="3" t="str">
        <f>VLOOKUP(C1276,'Location Summary'!$C$4:$D$678,2,0)</f>
        <v>DA+3</v>
      </c>
      <c r="E1276" s="121" t="s">
        <v>405</v>
      </c>
      <c r="F1276" s="95" t="s">
        <v>685</v>
      </c>
      <c r="H1276" s="160">
        <v>1</v>
      </c>
      <c r="P1276" s="161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3" t="s">
        <v>177</v>
      </c>
      <c r="D1277" s="3" t="str">
        <f>VLOOKUP(C1277,'Location Summary'!$C$4:$D$678,2,0)</f>
        <v>DA+3</v>
      </c>
      <c r="E1277" s="121" t="s">
        <v>405</v>
      </c>
      <c r="F1277" s="95" t="s">
        <v>685</v>
      </c>
      <c r="I1277" s="159">
        <v>1</v>
      </c>
      <c r="J1277" s="161">
        <v>1</v>
      </c>
      <c r="M1277" s="161">
        <v>1</v>
      </c>
      <c r="Q1277" s="160">
        <v>1</v>
      </c>
      <c r="R1277" s="159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3" t="s">
        <v>177</v>
      </c>
      <c r="D1278" s="3" t="str">
        <f>VLOOKUP(C1278,'Location Summary'!$C$4:$D$678,2,0)</f>
        <v>DA+3</v>
      </c>
      <c r="E1278" s="121" t="s">
        <v>405</v>
      </c>
      <c r="F1278" s="95" t="s">
        <v>685</v>
      </c>
      <c r="K1278" s="160">
        <v>1</v>
      </c>
      <c r="L1278" s="159">
        <v>1</v>
      </c>
      <c r="N1278" s="160">
        <v>1</v>
      </c>
      <c r="O1278" s="159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3" t="s">
        <v>176</v>
      </c>
      <c r="D1279" s="3" t="str">
        <f>VLOOKUP(C1279,'Location Summary'!$C$4:$D$678,2,0)</f>
        <v>DA+1.5</v>
      </c>
      <c r="E1279" s="121" t="s">
        <v>405</v>
      </c>
      <c r="F1279" s="95" t="s">
        <v>685</v>
      </c>
      <c r="G1279" s="161">
        <v>1</v>
      </c>
      <c r="J1279" s="161">
        <v>1</v>
      </c>
      <c r="M1279" s="161">
        <v>1</v>
      </c>
      <c r="P1279" s="161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3" t="s">
        <v>176</v>
      </c>
      <c r="D1280" s="3" t="str">
        <f>VLOOKUP(C1280,'Location Summary'!$C$4:$D$678,2,0)</f>
        <v>DA+1.5</v>
      </c>
      <c r="E1280" s="121" t="s">
        <v>405</v>
      </c>
      <c r="F1280" s="95" t="s">
        <v>685</v>
      </c>
      <c r="H1280" s="160">
        <v>1</v>
      </c>
      <c r="I1280" s="159">
        <v>1</v>
      </c>
      <c r="K1280" s="160">
        <v>1</v>
      </c>
      <c r="L1280" s="159">
        <v>1</v>
      </c>
      <c r="N1280" s="160">
        <v>1</v>
      </c>
      <c r="O1280" s="159">
        <v>1</v>
      </c>
      <c r="Q1280" s="160">
        <v>1</v>
      </c>
      <c r="R1280" s="159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3" t="s">
        <v>52</v>
      </c>
      <c r="D1281" s="3" t="str">
        <f>VLOOKUP(C1281,'Location Summary'!$C$4:$D$678,2,0)</f>
        <v>DD60+3</v>
      </c>
      <c r="E1281" s="121" t="s">
        <v>405</v>
      </c>
      <c r="F1281" s="95" t="s">
        <v>685</v>
      </c>
      <c r="G1281" s="161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3" t="s">
        <v>52</v>
      </c>
      <c r="D1282" s="3" t="str">
        <f>VLOOKUP(C1282,'Location Summary'!$C$4:$D$678,2,0)</f>
        <v>DD60+3</v>
      </c>
      <c r="E1282" s="121" t="s">
        <v>405</v>
      </c>
      <c r="F1282" s="95" t="s">
        <v>685</v>
      </c>
      <c r="H1282" s="160">
        <v>1</v>
      </c>
      <c r="I1282" s="159">
        <v>1</v>
      </c>
      <c r="P1282" s="161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3" t="s">
        <v>52</v>
      </c>
      <c r="D1283" s="3" t="str">
        <f>VLOOKUP(C1283,'Location Summary'!$C$4:$D$678,2,0)</f>
        <v>DD60+3</v>
      </c>
      <c r="E1283" s="121" t="s">
        <v>405</v>
      </c>
      <c r="F1283" s="95" t="s">
        <v>685</v>
      </c>
      <c r="M1283" s="161">
        <v>1</v>
      </c>
      <c r="Q1283" s="160">
        <v>1</v>
      </c>
      <c r="R1283" s="159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3" t="s">
        <v>52</v>
      </c>
      <c r="D1284" s="3" t="str">
        <f>VLOOKUP(C1284,'Location Summary'!$C$4:$D$678,2,0)</f>
        <v>DD60+3</v>
      </c>
      <c r="E1284" s="121" t="s">
        <v>405</v>
      </c>
      <c r="F1284" s="95" t="s">
        <v>685</v>
      </c>
      <c r="J1284" s="161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3" t="s">
        <v>52</v>
      </c>
      <c r="D1285" s="3" t="str">
        <f>VLOOKUP(C1285,'Location Summary'!$C$4:$D$678,2,0)</f>
        <v>DD60+3</v>
      </c>
      <c r="E1285" s="121" t="s">
        <v>405</v>
      </c>
      <c r="F1285" s="95" t="s">
        <v>685</v>
      </c>
      <c r="K1285" s="160">
        <v>1</v>
      </c>
      <c r="L1285" s="159">
        <v>1</v>
      </c>
      <c r="N1285" s="160">
        <v>1</v>
      </c>
      <c r="O1285" s="159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1" t="s">
        <v>405</v>
      </c>
      <c r="F1286" s="95" t="s">
        <v>685</v>
      </c>
      <c r="J1286" s="161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1" t="s">
        <v>405</v>
      </c>
      <c r="F1287" s="95" t="s">
        <v>685</v>
      </c>
      <c r="P1287" s="161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3" t="s">
        <v>265</v>
      </c>
      <c r="D1288" s="3" t="str">
        <f>VLOOKUP(C1288,'Location Summary'!$C$4:$D$678,2,0)</f>
        <v>DD45+0</v>
      </c>
      <c r="E1288" s="121" t="s">
        <v>405</v>
      </c>
      <c r="F1288" s="95" t="s">
        <v>685</v>
      </c>
      <c r="M1288" s="161">
        <v>1</v>
      </c>
      <c r="N1288" s="160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3" t="s">
        <v>53</v>
      </c>
      <c r="D1289" s="3" t="str">
        <f>VLOOKUP(C1289,'Location Summary'!$C$4:$D$678,2,0)</f>
        <v>DD60+3</v>
      </c>
      <c r="E1289" s="121" t="s">
        <v>405</v>
      </c>
      <c r="F1289" s="95" t="s">
        <v>685</v>
      </c>
      <c r="K1289" s="160">
        <v>1</v>
      </c>
      <c r="L1289" s="159">
        <v>1</v>
      </c>
      <c r="M1289" s="161">
        <v>1</v>
      </c>
      <c r="Q1289" s="160">
        <v>1</v>
      </c>
      <c r="R1289" s="159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3" t="s">
        <v>53</v>
      </c>
      <c r="D1290" s="3" t="str">
        <f>VLOOKUP(C1290,'Location Summary'!$C$4:$D$678,2,0)</f>
        <v>DD60+3</v>
      </c>
      <c r="E1290" s="121" t="s">
        <v>405</v>
      </c>
      <c r="F1290" s="95" t="s">
        <v>685</v>
      </c>
      <c r="G1290" s="161">
        <v>1</v>
      </c>
      <c r="N1290" s="160">
        <v>1</v>
      </c>
      <c r="O1290" s="159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3" t="s">
        <v>265</v>
      </c>
      <c r="D1291" s="3" t="str">
        <f>VLOOKUP(C1291,'Location Summary'!$C$4:$D$678,2,0)</f>
        <v>DD45+0</v>
      </c>
      <c r="E1291" s="121" t="s">
        <v>405</v>
      </c>
      <c r="F1291" s="95" t="s">
        <v>685</v>
      </c>
      <c r="G1291" s="161">
        <v>1</v>
      </c>
      <c r="H1291" s="160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3" t="s">
        <v>53</v>
      </c>
      <c r="D1292" s="3" t="str">
        <f>VLOOKUP(C1292,'Location Summary'!$C$4:$D$678,2,0)</f>
        <v>DD60+3</v>
      </c>
      <c r="E1292" s="121" t="s">
        <v>405</v>
      </c>
      <c r="F1292" s="95" t="s">
        <v>685</v>
      </c>
      <c r="H1292" s="160">
        <v>1</v>
      </c>
      <c r="I1292" s="159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1" t="s">
        <v>405</v>
      </c>
      <c r="F1293" s="95" t="s">
        <v>685</v>
      </c>
      <c r="I1293" s="159">
        <v>1</v>
      </c>
      <c r="O1293" s="159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1" t="s">
        <v>405</v>
      </c>
      <c r="F1294" s="95" t="s">
        <v>685</v>
      </c>
      <c r="P1294" s="161">
        <v>1</v>
      </c>
      <c r="Q1294" s="160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1" t="s">
        <v>405</v>
      </c>
      <c r="F1295" s="95" t="s">
        <v>685</v>
      </c>
      <c r="J1295" s="161">
        <v>1</v>
      </c>
      <c r="K1295" s="160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1" t="s">
        <v>405</v>
      </c>
      <c r="F1296" s="95" t="s">
        <v>685</v>
      </c>
      <c r="L1296" s="159">
        <v>1</v>
      </c>
      <c r="R1296" s="159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3" t="s">
        <v>266</v>
      </c>
      <c r="D1297" s="3" t="str">
        <f>VLOOKUP(C1297,'Location Summary'!$C$4:$D$678,2,0)</f>
        <v>DB1+9</v>
      </c>
      <c r="E1297" s="121" t="s">
        <v>405</v>
      </c>
      <c r="F1297" s="95" t="s">
        <v>685</v>
      </c>
      <c r="G1297" s="161">
        <v>1</v>
      </c>
      <c r="P1297" s="161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3" t="s">
        <v>266</v>
      </c>
      <c r="D1298" s="3" t="str">
        <f>VLOOKUP(C1298,'Location Summary'!$C$4:$D$678,2,0)</f>
        <v>DB1+9</v>
      </c>
      <c r="E1298" s="121" t="s">
        <v>405</v>
      </c>
      <c r="F1298" s="95" t="s">
        <v>685</v>
      </c>
      <c r="H1298" s="160">
        <v>1</v>
      </c>
      <c r="I1298" s="159">
        <v>1</v>
      </c>
      <c r="Q1298" s="160">
        <v>1</v>
      </c>
      <c r="R1298" s="159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3" t="s">
        <v>266</v>
      </c>
      <c r="D1299" s="3" t="str">
        <f>VLOOKUP(C1299,'Location Summary'!$C$4:$D$678,2,0)</f>
        <v>DB1+9</v>
      </c>
      <c r="E1299" s="121" t="s">
        <v>405</v>
      </c>
      <c r="F1299" s="95" t="s">
        <v>685</v>
      </c>
      <c r="J1299" s="161">
        <v>1</v>
      </c>
      <c r="M1299" s="161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3" t="s">
        <v>266</v>
      </c>
      <c r="D1300" s="3" t="str">
        <f>VLOOKUP(C1300,'Location Summary'!$C$4:$D$678,2,0)</f>
        <v>DB1+9</v>
      </c>
      <c r="E1300" s="121" t="s">
        <v>405</v>
      </c>
      <c r="F1300" s="95" t="s">
        <v>685</v>
      </c>
      <c r="K1300" s="160">
        <v>1</v>
      </c>
      <c r="L1300" s="159">
        <v>1</v>
      </c>
      <c r="N1300" s="160">
        <v>1</v>
      </c>
      <c r="O1300" s="159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1" t="s">
        <v>405</v>
      </c>
      <c r="F1301" s="95" t="s">
        <v>685</v>
      </c>
      <c r="J1301" s="161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3" t="s">
        <v>268</v>
      </c>
      <c r="D1302" s="3" t="str">
        <f>VLOOKUP(C1302,'Location Summary'!$C$4:$D$678,2,0)</f>
        <v>DD60+0</v>
      </c>
      <c r="E1302" s="121" t="s">
        <v>405</v>
      </c>
      <c r="F1302" s="95" t="s">
        <v>685</v>
      </c>
      <c r="G1302" s="161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3" t="s">
        <v>268</v>
      </c>
      <c r="D1303" s="3" t="str">
        <f>VLOOKUP(C1303,'Location Summary'!$C$4:$D$678,2,0)</f>
        <v>DD60+0</v>
      </c>
      <c r="E1303" s="121" t="s">
        <v>405</v>
      </c>
      <c r="F1303" s="95" t="s">
        <v>685</v>
      </c>
      <c r="H1303" s="160">
        <v>1</v>
      </c>
      <c r="K1303" s="160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3" t="s">
        <v>268</v>
      </c>
      <c r="D1304" s="3" t="str">
        <f>VLOOKUP(C1304,'Location Summary'!$C$4:$D$678,2,0)</f>
        <v>DD60+0</v>
      </c>
      <c r="E1304" s="121" t="s">
        <v>405</v>
      </c>
      <c r="F1304" s="95" t="s">
        <v>685</v>
      </c>
      <c r="I1304" s="159">
        <v>1</v>
      </c>
      <c r="L1304" s="159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3" t="s">
        <v>268</v>
      </c>
      <c r="D1305" s="3" t="str">
        <f>VLOOKUP(C1305,'Location Summary'!$C$4:$D$678,2,0)</f>
        <v>DD60+0</v>
      </c>
      <c r="E1305" s="121" t="s">
        <v>405</v>
      </c>
      <c r="F1305" s="95" t="s">
        <v>685</v>
      </c>
      <c r="M1305" s="161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3" t="s">
        <v>268</v>
      </c>
      <c r="D1306" s="3" t="str">
        <f>VLOOKUP(C1306,'Location Summary'!$C$4:$D$678,2,0)</f>
        <v>DD60+0</v>
      </c>
      <c r="E1306" s="121" t="s">
        <v>405</v>
      </c>
      <c r="F1306" s="95" t="s">
        <v>685</v>
      </c>
      <c r="N1306" s="160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3" t="s">
        <v>268</v>
      </c>
      <c r="D1307" s="3" t="str">
        <f>VLOOKUP(C1307,'Location Summary'!$C$4:$D$678,2,0)</f>
        <v>DD60+0</v>
      </c>
      <c r="E1307" s="121" t="s">
        <v>405</v>
      </c>
      <c r="F1307" s="95" t="s">
        <v>685</v>
      </c>
      <c r="O1307" s="159">
        <v>1</v>
      </c>
      <c r="P1307" s="161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3" t="s">
        <v>268</v>
      </c>
      <c r="D1308" s="3" t="str">
        <f>VLOOKUP(C1308,'Location Summary'!$C$4:$D$678,2,0)</f>
        <v>DD60+0</v>
      </c>
      <c r="E1308" s="121" t="s">
        <v>405</v>
      </c>
      <c r="F1308" s="95" t="s">
        <v>685</v>
      </c>
      <c r="Q1308" s="160">
        <v>1</v>
      </c>
      <c r="R1308" s="159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1" t="s">
        <v>405</v>
      </c>
      <c r="F1309" s="95" t="s">
        <v>685</v>
      </c>
      <c r="G1309" s="161">
        <v>1</v>
      </c>
      <c r="J1309" s="161">
        <v>1</v>
      </c>
      <c r="M1309" s="161">
        <v>1</v>
      </c>
      <c r="P1309" s="161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1" t="s">
        <v>405</v>
      </c>
      <c r="F1310" s="95" t="s">
        <v>685</v>
      </c>
      <c r="H1310" s="160">
        <v>1</v>
      </c>
      <c r="I1310" s="159">
        <v>1</v>
      </c>
      <c r="K1310" s="160">
        <v>1</v>
      </c>
      <c r="L1310" s="159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1" t="s">
        <v>405</v>
      </c>
      <c r="F1311" s="95" t="s">
        <v>685</v>
      </c>
      <c r="N1311" s="160">
        <v>1</v>
      </c>
      <c r="O1311" s="159">
        <v>1</v>
      </c>
      <c r="Q1311" s="160">
        <v>1</v>
      </c>
      <c r="R1311" s="159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1" t="s">
        <v>405</v>
      </c>
      <c r="F1312" s="95" t="s">
        <v>685</v>
      </c>
      <c r="J1312" s="161">
        <v>1</v>
      </c>
      <c r="K1312" s="160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1" t="s">
        <v>405</v>
      </c>
      <c r="F1313" s="95" t="s">
        <v>685</v>
      </c>
      <c r="M1313" s="161">
        <v>1</v>
      </c>
      <c r="N1313" s="160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1" t="s">
        <v>405</v>
      </c>
      <c r="F1314" s="95" t="s">
        <v>685</v>
      </c>
      <c r="L1314" s="159">
        <v>1</v>
      </c>
      <c r="O1314" s="159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1" t="s">
        <v>405</v>
      </c>
      <c r="F1315" s="95" t="s">
        <v>685</v>
      </c>
      <c r="P1315" s="161">
        <v>1</v>
      </c>
      <c r="Q1315" s="160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1" t="s">
        <v>405</v>
      </c>
      <c r="F1316" s="95" t="s">
        <v>685</v>
      </c>
      <c r="R1316" s="159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1" t="s">
        <v>405</v>
      </c>
      <c r="F1317" s="95" t="s">
        <v>685</v>
      </c>
      <c r="G1317" s="161">
        <v>1</v>
      </c>
      <c r="H1317" s="160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1" t="s">
        <v>405</v>
      </c>
      <c r="F1318" s="95" t="s">
        <v>685</v>
      </c>
      <c r="I1318" s="159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48" t="s">
        <v>908</v>
      </c>
      <c r="B1" s="1748"/>
      <c r="C1" s="1748"/>
      <c r="D1" s="1748"/>
      <c r="E1" s="1748"/>
      <c r="F1" s="1748"/>
      <c r="G1" s="1748"/>
      <c r="H1" s="1748"/>
      <c r="I1" s="1748"/>
      <c r="J1" s="1748"/>
      <c r="K1" s="1748"/>
    </row>
    <row r="2" spans="1:11">
      <c r="A2" s="1749" t="s">
        <v>81</v>
      </c>
      <c r="B2" s="1750"/>
      <c r="C2" s="281">
        <f>SUM(C5:C43)</f>
        <v>287</v>
      </c>
      <c r="D2" s="281">
        <f t="shared" ref="D2:K2" si="0">SUM(D5:D43)</f>
        <v>298</v>
      </c>
      <c r="E2" s="281">
        <f t="shared" si="0"/>
        <v>306</v>
      </c>
      <c r="F2" s="282">
        <f t="shared" si="0"/>
        <v>306</v>
      </c>
      <c r="G2" s="282">
        <f t="shared" si="0"/>
        <v>309</v>
      </c>
      <c r="H2" s="282">
        <f>SUM(H5:H43)</f>
        <v>-3</v>
      </c>
      <c r="I2" s="283">
        <f t="shared" si="0"/>
        <v>306</v>
      </c>
      <c r="J2" s="283">
        <f t="shared" si="0"/>
        <v>309</v>
      </c>
      <c r="K2" s="284">
        <f t="shared" si="0"/>
        <v>-3</v>
      </c>
    </row>
    <row r="3" spans="1:11" ht="28.5" customHeight="1" thickBot="1">
      <c r="A3" s="285"/>
      <c r="B3" s="264"/>
      <c r="C3" s="264"/>
      <c r="D3" s="264"/>
      <c r="E3" s="934"/>
      <c r="F3" s="1751" t="s">
        <v>985</v>
      </c>
      <c r="G3" s="1752"/>
      <c r="H3" s="1753"/>
      <c r="I3" s="1754" t="s">
        <v>909</v>
      </c>
      <c r="J3" s="1755"/>
      <c r="K3" s="1756"/>
    </row>
    <row r="4" spans="1:11" s="291" customFormat="1" ht="30" customHeight="1" thickBot="1">
      <c r="A4" s="280" t="s">
        <v>376</v>
      </c>
      <c r="B4" s="286" t="s">
        <v>910</v>
      </c>
      <c r="C4" s="287" t="s">
        <v>245</v>
      </c>
      <c r="D4" s="287" t="s">
        <v>1362</v>
      </c>
      <c r="E4" s="287" t="s">
        <v>1363</v>
      </c>
      <c r="F4" s="288" t="s">
        <v>911</v>
      </c>
      <c r="G4" s="288" t="s">
        <v>912</v>
      </c>
      <c r="H4" s="288" t="s">
        <v>0</v>
      </c>
      <c r="I4" s="289" t="s">
        <v>50</v>
      </c>
      <c r="J4" s="289" t="s">
        <v>912</v>
      </c>
      <c r="K4" s="290" t="s">
        <v>0</v>
      </c>
    </row>
    <row r="5" spans="1:11">
      <c r="A5" s="27">
        <v>1</v>
      </c>
      <c r="B5" s="292" t="s">
        <v>4</v>
      </c>
      <c r="C5" s="1757">
        <v>241</v>
      </c>
      <c r="D5" s="1757">
        <v>241</v>
      </c>
      <c r="E5" s="1760">
        <v>246</v>
      </c>
      <c r="F5" s="293">
        <f>COUNTIF('Location Summary'!$D$4:$D$616,'Tower PRS abstract '!B5)</f>
        <v>12</v>
      </c>
      <c r="G5" s="293">
        <v>12</v>
      </c>
      <c r="H5" s="293">
        <f t="shared" ref="H5:H42" si="1">F5-G5</f>
        <v>0</v>
      </c>
      <c r="I5" s="294">
        <f t="shared" ref="I5:I12" si="2">F5</f>
        <v>12</v>
      </c>
      <c r="J5" s="294">
        <f t="shared" ref="J5:J42" si="3">G5</f>
        <v>12</v>
      </c>
      <c r="K5" s="295">
        <f t="shared" ref="K5:K42" si="4">I5-J5</f>
        <v>0</v>
      </c>
    </row>
    <row r="6" spans="1:11">
      <c r="A6" s="4">
        <f t="shared" ref="A6:A42" si="5">A5+1</f>
        <v>2</v>
      </c>
      <c r="B6" s="68" t="s">
        <v>154</v>
      </c>
      <c r="C6" s="1758"/>
      <c r="D6" s="1758"/>
      <c r="E6" s="1761"/>
      <c r="F6" s="296">
        <f>COUNTIF('Location Summary'!$D$4:$D$616,'Tower PRS abstract '!B6)</f>
        <v>12</v>
      </c>
      <c r="G6" s="296">
        <v>12</v>
      </c>
      <c r="H6" s="296">
        <f t="shared" si="1"/>
        <v>0</v>
      </c>
      <c r="I6" s="297">
        <f t="shared" si="2"/>
        <v>12</v>
      </c>
      <c r="J6" s="297">
        <f t="shared" si="3"/>
        <v>12</v>
      </c>
      <c r="K6" s="298">
        <f t="shared" si="4"/>
        <v>0</v>
      </c>
    </row>
    <row r="7" spans="1:11">
      <c r="A7" s="4">
        <f t="shared" si="5"/>
        <v>3</v>
      </c>
      <c r="B7" s="68" t="s">
        <v>3</v>
      </c>
      <c r="C7" s="1758"/>
      <c r="D7" s="1758"/>
      <c r="E7" s="1761"/>
      <c r="F7" s="296">
        <f>COUNTIF('Location Summary'!$D$4:$D$616,'Tower PRS abstract '!B7)</f>
        <v>33</v>
      </c>
      <c r="G7" s="296">
        <v>33</v>
      </c>
      <c r="H7" s="296">
        <f t="shared" si="1"/>
        <v>0</v>
      </c>
      <c r="I7" s="297">
        <f t="shared" si="2"/>
        <v>33</v>
      </c>
      <c r="J7" s="297">
        <f t="shared" si="3"/>
        <v>33</v>
      </c>
      <c r="K7" s="298">
        <f t="shared" si="4"/>
        <v>0</v>
      </c>
    </row>
    <row r="8" spans="1:11">
      <c r="A8" s="4">
        <f t="shared" si="5"/>
        <v>4</v>
      </c>
      <c r="B8" s="68" t="s">
        <v>170</v>
      </c>
      <c r="C8" s="1758"/>
      <c r="D8" s="1758"/>
      <c r="E8" s="1761"/>
      <c r="F8" s="296">
        <f>COUNTIF('Location Summary'!$D$4:$D$616,'Tower PRS abstract '!B8)</f>
        <v>24</v>
      </c>
      <c r="G8" s="296">
        <v>24</v>
      </c>
      <c r="H8" s="296">
        <f t="shared" si="1"/>
        <v>0</v>
      </c>
      <c r="I8" s="297">
        <f t="shared" si="2"/>
        <v>24</v>
      </c>
      <c r="J8" s="297">
        <f t="shared" si="3"/>
        <v>24</v>
      </c>
      <c r="K8" s="298">
        <f t="shared" si="4"/>
        <v>0</v>
      </c>
    </row>
    <row r="9" spans="1:11">
      <c r="A9" s="4">
        <f t="shared" si="5"/>
        <v>5</v>
      </c>
      <c r="B9" s="68" t="s">
        <v>2</v>
      </c>
      <c r="C9" s="1758"/>
      <c r="D9" s="1758"/>
      <c r="E9" s="1761"/>
      <c r="F9" s="296">
        <f>COUNTIF('Location Summary'!$D$4:$D$616,'Tower PRS abstract '!B9)</f>
        <v>69</v>
      </c>
      <c r="G9" s="296">
        <v>70</v>
      </c>
      <c r="H9" s="296">
        <f t="shared" si="1"/>
        <v>-1</v>
      </c>
      <c r="I9" s="297">
        <f t="shared" si="2"/>
        <v>69</v>
      </c>
      <c r="J9" s="297">
        <f t="shared" si="3"/>
        <v>70</v>
      </c>
      <c r="K9" s="298">
        <f t="shared" si="4"/>
        <v>-1</v>
      </c>
    </row>
    <row r="10" spans="1:11">
      <c r="A10" s="4">
        <f t="shared" si="5"/>
        <v>6</v>
      </c>
      <c r="B10" s="68" t="s">
        <v>989</v>
      </c>
      <c r="C10" s="1758"/>
      <c r="D10" s="1758"/>
      <c r="E10" s="1761"/>
      <c r="F10" s="296">
        <f>COUNTIF('Location Summary'!$D$4:$D$616,'Tower PRS abstract '!B10)</f>
        <v>1</v>
      </c>
      <c r="G10" s="296">
        <v>1</v>
      </c>
      <c r="H10" s="296">
        <f t="shared" si="1"/>
        <v>0</v>
      </c>
      <c r="I10" s="297">
        <f t="shared" si="2"/>
        <v>1</v>
      </c>
      <c r="J10" s="297">
        <f t="shared" si="3"/>
        <v>1</v>
      </c>
      <c r="K10" s="298">
        <f t="shared" si="4"/>
        <v>0</v>
      </c>
    </row>
    <row r="11" spans="1:11">
      <c r="A11" s="4">
        <f t="shared" si="5"/>
        <v>7</v>
      </c>
      <c r="B11" s="68" t="s">
        <v>79</v>
      </c>
      <c r="C11" s="1758"/>
      <c r="D11" s="1758"/>
      <c r="E11" s="1761"/>
      <c r="F11" s="296">
        <f>COUNTIF('Location Summary'!$D$4:$D$616,'Tower PRS abstract '!B11)</f>
        <v>47</v>
      </c>
      <c r="G11" s="296">
        <v>49</v>
      </c>
      <c r="H11" s="931">
        <f t="shared" si="1"/>
        <v>-2</v>
      </c>
      <c r="I11" s="297">
        <f t="shared" si="2"/>
        <v>47</v>
      </c>
      <c r="J11" s="297">
        <f t="shared" si="3"/>
        <v>49</v>
      </c>
      <c r="K11" s="298">
        <f t="shared" si="4"/>
        <v>-2</v>
      </c>
    </row>
    <row r="12" spans="1:11" ht="15" thickBot="1">
      <c r="A12" s="30">
        <f t="shared" si="5"/>
        <v>8</v>
      </c>
      <c r="B12" s="181" t="s">
        <v>49</v>
      </c>
      <c r="C12" s="1759"/>
      <c r="D12" s="1759"/>
      <c r="E12" s="1762"/>
      <c r="F12" s="299">
        <f>COUNTIF('Location Summary'!$D$4:$D$616,'Tower PRS abstract '!B12)</f>
        <v>46</v>
      </c>
      <c r="G12" s="299">
        <v>47</v>
      </c>
      <c r="H12" s="299">
        <f t="shared" si="1"/>
        <v>-1</v>
      </c>
      <c r="I12" s="300">
        <f t="shared" si="2"/>
        <v>46</v>
      </c>
      <c r="J12" s="300">
        <f t="shared" si="3"/>
        <v>47</v>
      </c>
      <c r="K12" s="301">
        <f t="shared" si="4"/>
        <v>-1</v>
      </c>
    </row>
    <row r="13" spans="1:11">
      <c r="A13" s="182">
        <f t="shared" si="5"/>
        <v>9</v>
      </c>
      <c r="B13" s="933" t="s">
        <v>197</v>
      </c>
      <c r="C13" s="1771">
        <v>12</v>
      </c>
      <c r="D13" s="1766">
        <v>29</v>
      </c>
      <c r="E13" s="1760">
        <v>31</v>
      </c>
      <c r="F13" s="293">
        <f>COUNTIF('Location Summary'!$D$4:$D$616,'Tower PRS abstract '!B13)</f>
        <v>7</v>
      </c>
      <c r="G13" s="293">
        <v>7</v>
      </c>
      <c r="H13" s="293">
        <f t="shared" si="1"/>
        <v>0</v>
      </c>
      <c r="I13" s="294">
        <f t="shared" ref="I13:I42" si="6">F13</f>
        <v>7</v>
      </c>
      <c r="J13" s="294">
        <f t="shared" si="3"/>
        <v>7</v>
      </c>
      <c r="K13" s="295">
        <f t="shared" si="4"/>
        <v>0</v>
      </c>
    </row>
    <row r="14" spans="1:11">
      <c r="A14" s="4">
        <f t="shared" si="5"/>
        <v>10</v>
      </c>
      <c r="B14" s="190" t="s">
        <v>226</v>
      </c>
      <c r="C14" s="1771"/>
      <c r="D14" s="1767"/>
      <c r="E14" s="1761"/>
      <c r="F14" s="296">
        <f>COUNTIF('Location Summary'!$D$4:$D$616,'Tower PRS abstract '!B14)</f>
        <v>2</v>
      </c>
      <c r="G14" s="296">
        <v>2</v>
      </c>
      <c r="H14" s="296">
        <f t="shared" si="1"/>
        <v>0</v>
      </c>
      <c r="I14" s="297">
        <f t="shared" si="6"/>
        <v>2</v>
      </c>
      <c r="J14" s="297">
        <f t="shared" si="3"/>
        <v>2</v>
      </c>
      <c r="K14" s="298">
        <f t="shared" si="4"/>
        <v>0</v>
      </c>
    </row>
    <row r="15" spans="1:11">
      <c r="A15" s="4">
        <f t="shared" si="5"/>
        <v>11</v>
      </c>
      <c r="B15" s="190" t="s">
        <v>227</v>
      </c>
      <c r="C15" s="1771"/>
      <c r="D15" s="1767"/>
      <c r="E15" s="1761"/>
      <c r="F15" s="296">
        <f>COUNTIF('Location Summary'!$D$4:$D$616,'Tower PRS abstract '!B15)</f>
        <v>6</v>
      </c>
      <c r="G15" s="296">
        <v>6</v>
      </c>
      <c r="H15" s="296">
        <f t="shared" si="1"/>
        <v>0</v>
      </c>
      <c r="I15" s="297">
        <f t="shared" si="6"/>
        <v>6</v>
      </c>
      <c r="J15" s="297">
        <f t="shared" si="3"/>
        <v>6</v>
      </c>
      <c r="K15" s="298">
        <f t="shared" si="4"/>
        <v>0</v>
      </c>
    </row>
    <row r="16" spans="1:11">
      <c r="A16" s="4">
        <f t="shared" si="5"/>
        <v>12</v>
      </c>
      <c r="B16" s="190" t="s">
        <v>211</v>
      </c>
      <c r="C16" s="1771"/>
      <c r="D16" s="1767"/>
      <c r="E16" s="1761"/>
      <c r="F16" s="296">
        <f>COUNTIF('Location Summary'!$D$4:$D$616,'Tower PRS abstract '!B16)</f>
        <v>12</v>
      </c>
      <c r="G16" s="296">
        <v>12</v>
      </c>
      <c r="H16" s="296">
        <f t="shared" si="1"/>
        <v>0</v>
      </c>
      <c r="I16" s="297">
        <f t="shared" si="6"/>
        <v>12</v>
      </c>
      <c r="J16" s="297">
        <f t="shared" si="3"/>
        <v>12</v>
      </c>
      <c r="K16" s="298">
        <f t="shared" si="4"/>
        <v>0</v>
      </c>
    </row>
    <row r="17" spans="1:11" ht="15" thickBot="1">
      <c r="A17" s="30">
        <f t="shared" si="5"/>
        <v>13</v>
      </c>
      <c r="B17" s="191" t="s">
        <v>403</v>
      </c>
      <c r="C17" s="1771"/>
      <c r="D17" s="1768"/>
      <c r="E17" s="1762"/>
      <c r="F17" s="299">
        <f>COUNTIF('Location Summary'!$D$4:$D$616,'Tower PRS abstract '!B17)</f>
        <v>4</v>
      </c>
      <c r="G17" s="299">
        <v>4</v>
      </c>
      <c r="H17" s="299">
        <f t="shared" si="1"/>
        <v>0</v>
      </c>
      <c r="I17" s="300">
        <f t="shared" si="6"/>
        <v>4</v>
      </c>
      <c r="J17" s="300">
        <f t="shared" si="3"/>
        <v>4</v>
      </c>
      <c r="K17" s="301">
        <f t="shared" si="4"/>
        <v>0</v>
      </c>
    </row>
    <row r="18" spans="1:11">
      <c r="A18" s="27">
        <f t="shared" si="5"/>
        <v>14</v>
      </c>
      <c r="B18" s="556" t="s">
        <v>184</v>
      </c>
      <c r="C18" s="1771"/>
      <c r="D18" s="1766">
        <v>10</v>
      </c>
      <c r="E18" s="1760">
        <v>10</v>
      </c>
      <c r="F18" s="293">
        <f>COUNTIF('Location Summary'!$D$4:$D$616,'Tower PRS abstract '!B18)</f>
        <v>5</v>
      </c>
      <c r="G18" s="293">
        <v>5</v>
      </c>
      <c r="H18" s="293">
        <f t="shared" si="1"/>
        <v>0</v>
      </c>
      <c r="I18" s="294">
        <f t="shared" si="6"/>
        <v>5</v>
      </c>
      <c r="J18" s="294">
        <f t="shared" si="3"/>
        <v>5</v>
      </c>
      <c r="K18" s="295">
        <f t="shared" si="4"/>
        <v>0</v>
      </c>
    </row>
    <row r="19" spans="1:11">
      <c r="A19" s="4">
        <f t="shared" si="5"/>
        <v>15</v>
      </c>
      <c r="B19" s="190" t="s">
        <v>228</v>
      </c>
      <c r="C19" s="1771"/>
      <c r="D19" s="1767"/>
      <c r="E19" s="1761"/>
      <c r="F19" s="296">
        <f>COUNTIF('Location Summary'!$D$4:$D$616,'Tower PRS abstract '!B19)</f>
        <v>1</v>
      </c>
      <c r="G19" s="296">
        <v>2</v>
      </c>
      <c r="H19" s="296">
        <f t="shared" si="1"/>
        <v>-1</v>
      </c>
      <c r="I19" s="297">
        <f t="shared" si="6"/>
        <v>1</v>
      </c>
      <c r="J19" s="297">
        <f t="shared" si="3"/>
        <v>2</v>
      </c>
      <c r="K19" s="298">
        <f t="shared" si="4"/>
        <v>-1</v>
      </c>
    </row>
    <row r="20" spans="1:11">
      <c r="A20" s="4">
        <f t="shared" si="5"/>
        <v>16</v>
      </c>
      <c r="B20" s="190" t="s">
        <v>229</v>
      </c>
      <c r="C20" s="1771"/>
      <c r="D20" s="1767"/>
      <c r="E20" s="1761"/>
      <c r="F20" s="296">
        <f>COUNTIF('Location Summary'!$D$4:$D$616,'Tower PRS abstract '!B20)</f>
        <v>1</v>
      </c>
      <c r="G20" s="296">
        <v>1</v>
      </c>
      <c r="H20" s="296">
        <f t="shared" si="1"/>
        <v>0</v>
      </c>
      <c r="I20" s="297">
        <f t="shared" si="6"/>
        <v>1</v>
      </c>
      <c r="J20" s="297">
        <f t="shared" si="3"/>
        <v>1</v>
      </c>
      <c r="K20" s="298">
        <f t="shared" si="4"/>
        <v>0</v>
      </c>
    </row>
    <row r="21" spans="1:11" ht="15" thickBot="1">
      <c r="A21" s="30">
        <f t="shared" si="5"/>
        <v>17</v>
      </c>
      <c r="B21" s="191" t="s">
        <v>215</v>
      </c>
      <c r="C21" s="1772"/>
      <c r="D21" s="1768"/>
      <c r="E21" s="1762"/>
      <c r="F21" s="299">
        <f>COUNTIF('Location Summary'!$D$4:$D$616,'Tower PRS abstract '!B21)</f>
        <v>4</v>
      </c>
      <c r="G21" s="299">
        <v>2</v>
      </c>
      <c r="H21" s="299">
        <f t="shared" si="1"/>
        <v>2</v>
      </c>
      <c r="I21" s="300">
        <f t="shared" si="6"/>
        <v>4</v>
      </c>
      <c r="J21" s="300">
        <f t="shared" si="3"/>
        <v>2</v>
      </c>
      <c r="K21" s="301">
        <f t="shared" si="4"/>
        <v>2</v>
      </c>
    </row>
    <row r="22" spans="1:11">
      <c r="A22" s="27">
        <f t="shared" si="5"/>
        <v>18</v>
      </c>
      <c r="B22" s="556" t="s">
        <v>185</v>
      </c>
      <c r="C22" s="1773">
        <v>5</v>
      </c>
      <c r="D22" s="1766">
        <v>2</v>
      </c>
      <c r="E22" s="1760">
        <v>2</v>
      </c>
      <c r="F22" s="293">
        <f>COUNTIF('Location Summary'!$D$4:$D$616,'Tower PRS abstract '!B22)</f>
        <v>1</v>
      </c>
      <c r="G22" s="293">
        <v>1</v>
      </c>
      <c r="H22" s="293">
        <f t="shared" si="1"/>
        <v>0</v>
      </c>
      <c r="I22" s="294">
        <f t="shared" si="6"/>
        <v>1</v>
      </c>
      <c r="J22" s="294">
        <f t="shared" si="3"/>
        <v>1</v>
      </c>
      <c r="K22" s="295">
        <f t="shared" si="4"/>
        <v>0</v>
      </c>
    </row>
    <row r="23" spans="1:11">
      <c r="A23" s="4">
        <f t="shared" si="5"/>
        <v>19</v>
      </c>
      <c r="B23" s="190" t="s">
        <v>217</v>
      </c>
      <c r="C23" s="1774"/>
      <c r="D23" s="1767"/>
      <c r="E23" s="1761"/>
      <c r="F23" s="296">
        <f>COUNTIF('Location Summary'!$D$4:$D$616,'Tower PRS abstract '!B23)</f>
        <v>1</v>
      </c>
      <c r="G23" s="296">
        <v>1</v>
      </c>
      <c r="H23" s="296">
        <f t="shared" si="1"/>
        <v>0</v>
      </c>
      <c r="I23" s="297">
        <f t="shared" si="6"/>
        <v>1</v>
      </c>
      <c r="J23" s="297">
        <f t="shared" si="3"/>
        <v>1</v>
      </c>
      <c r="K23" s="298">
        <f t="shared" si="4"/>
        <v>0</v>
      </c>
    </row>
    <row r="24" spans="1:11">
      <c r="A24" s="4">
        <f t="shared" si="5"/>
        <v>20</v>
      </c>
      <c r="B24" s="190" t="s">
        <v>214</v>
      </c>
      <c r="C24" s="1774"/>
      <c r="D24" s="1767"/>
      <c r="E24" s="1761"/>
      <c r="F24" s="296">
        <f>COUNTIF('Location Summary'!$D$4:$D$616,'Tower PRS abstract '!B24)</f>
        <v>0</v>
      </c>
      <c r="G24" s="296"/>
      <c r="H24" s="296">
        <f t="shared" si="1"/>
        <v>0</v>
      </c>
      <c r="I24" s="297">
        <f t="shared" si="6"/>
        <v>0</v>
      </c>
      <c r="J24" s="297">
        <f t="shared" si="3"/>
        <v>0</v>
      </c>
      <c r="K24" s="298">
        <f t="shared" si="4"/>
        <v>0</v>
      </c>
    </row>
    <row r="25" spans="1:11" ht="15" thickBot="1">
      <c r="A25" s="30">
        <f t="shared" si="5"/>
        <v>21</v>
      </c>
      <c r="B25" s="191" t="s">
        <v>210</v>
      </c>
      <c r="C25" s="1774"/>
      <c r="D25" s="1768"/>
      <c r="E25" s="1762"/>
      <c r="F25" s="299">
        <f>COUNTIF('Location Summary'!$D$4:$D$616,'Tower PRS abstract '!B25)</f>
        <v>0</v>
      </c>
      <c r="G25" s="299"/>
      <c r="H25" s="299">
        <f t="shared" si="1"/>
        <v>0</v>
      </c>
      <c r="I25" s="300">
        <f t="shared" si="6"/>
        <v>0</v>
      </c>
      <c r="J25" s="300">
        <f t="shared" si="3"/>
        <v>0</v>
      </c>
      <c r="K25" s="301">
        <f t="shared" si="4"/>
        <v>0</v>
      </c>
    </row>
    <row r="26" spans="1:11">
      <c r="A26" s="27">
        <f t="shared" si="5"/>
        <v>22</v>
      </c>
      <c r="B26" s="556" t="s">
        <v>173</v>
      </c>
      <c r="C26" s="1774"/>
      <c r="D26" s="1766">
        <v>4</v>
      </c>
      <c r="E26" s="1760">
        <v>4</v>
      </c>
      <c r="F26" s="293">
        <f>COUNTIF('Location Summary'!$D$4:$D$616,'Tower PRS abstract '!B26)</f>
        <v>2</v>
      </c>
      <c r="G26" s="293">
        <v>2</v>
      </c>
      <c r="H26" s="293">
        <f t="shared" si="1"/>
        <v>0</v>
      </c>
      <c r="I26" s="294">
        <f t="shared" si="6"/>
        <v>2</v>
      </c>
      <c r="J26" s="294">
        <f t="shared" si="3"/>
        <v>2</v>
      </c>
      <c r="K26" s="295">
        <f t="shared" si="4"/>
        <v>0</v>
      </c>
    </row>
    <row r="27" spans="1:11">
      <c r="A27" s="4">
        <f t="shared" si="5"/>
        <v>23</v>
      </c>
      <c r="B27" s="190" t="s">
        <v>250</v>
      </c>
      <c r="C27" s="1774"/>
      <c r="D27" s="1767"/>
      <c r="E27" s="1761"/>
      <c r="F27" s="296">
        <f>COUNTIF('Location Summary'!$D$4:$D$616,'Tower PRS abstract '!B27)</f>
        <v>1</v>
      </c>
      <c r="G27" s="296">
        <v>1</v>
      </c>
      <c r="H27" s="296">
        <f t="shared" si="1"/>
        <v>0</v>
      </c>
      <c r="I27" s="297">
        <f t="shared" si="6"/>
        <v>1</v>
      </c>
      <c r="J27" s="297">
        <f t="shared" si="3"/>
        <v>1</v>
      </c>
      <c r="K27" s="298">
        <f t="shared" si="4"/>
        <v>0</v>
      </c>
    </row>
    <row r="28" spans="1:11">
      <c r="A28" s="4">
        <f t="shared" si="5"/>
        <v>24</v>
      </c>
      <c r="B28" s="190" t="s">
        <v>230</v>
      </c>
      <c r="C28" s="1774"/>
      <c r="D28" s="1767"/>
      <c r="E28" s="1761"/>
      <c r="F28" s="296">
        <f>COUNTIF('Location Summary'!$D$4:$D$616,'Tower PRS abstract '!B28)</f>
        <v>0</v>
      </c>
      <c r="G28" s="296"/>
      <c r="H28" s="296">
        <f t="shared" si="1"/>
        <v>0</v>
      </c>
      <c r="I28" s="297">
        <f t="shared" si="6"/>
        <v>0</v>
      </c>
      <c r="J28" s="297">
        <f t="shared" si="3"/>
        <v>0</v>
      </c>
      <c r="K28" s="298">
        <f t="shared" si="4"/>
        <v>0</v>
      </c>
    </row>
    <row r="29" spans="1:11">
      <c r="A29" s="4">
        <f t="shared" si="5"/>
        <v>25</v>
      </c>
      <c r="B29" s="190" t="s">
        <v>216</v>
      </c>
      <c r="C29" s="1774"/>
      <c r="D29" s="1767"/>
      <c r="E29" s="1761"/>
      <c r="F29" s="296">
        <f>COUNTIF('Location Summary'!$D$4:$D$616,'Tower PRS abstract '!B29)</f>
        <v>0</v>
      </c>
      <c r="G29" s="296"/>
      <c r="H29" s="296">
        <f t="shared" si="1"/>
        <v>0</v>
      </c>
      <c r="I29" s="297">
        <f t="shared" si="6"/>
        <v>0</v>
      </c>
      <c r="J29" s="297">
        <f t="shared" si="3"/>
        <v>0</v>
      </c>
      <c r="K29" s="298">
        <f t="shared" si="4"/>
        <v>0</v>
      </c>
    </row>
    <row r="30" spans="1:11" ht="15" thickBot="1">
      <c r="A30" s="30">
        <f t="shared" si="5"/>
        <v>26</v>
      </c>
      <c r="B30" s="932" t="s">
        <v>430</v>
      </c>
      <c r="C30" s="1775"/>
      <c r="D30" s="1768"/>
      <c r="E30" s="1762"/>
      <c r="F30" s="299">
        <f>COUNTIF('Location Summary'!$D$4:$D$616,'Tower PRS abstract '!B30)</f>
        <v>2</v>
      </c>
      <c r="G30" s="299">
        <v>1</v>
      </c>
      <c r="H30" s="299">
        <f t="shared" si="1"/>
        <v>1</v>
      </c>
      <c r="I30" s="300">
        <f t="shared" si="6"/>
        <v>2</v>
      </c>
      <c r="J30" s="300">
        <f t="shared" si="3"/>
        <v>1</v>
      </c>
      <c r="K30" s="301">
        <f t="shared" si="4"/>
        <v>1</v>
      </c>
    </row>
    <row r="31" spans="1:11">
      <c r="A31" s="27">
        <f t="shared" si="5"/>
        <v>27</v>
      </c>
      <c r="B31" s="292" t="s">
        <v>280</v>
      </c>
      <c r="C31" s="1763">
        <v>5</v>
      </c>
      <c r="D31" s="1766">
        <v>2</v>
      </c>
      <c r="E31" s="1760">
        <v>3</v>
      </c>
      <c r="F31" s="293">
        <f>COUNTIF('Location Summary'!$D$4:$D$616,'Tower PRS abstract '!B31)</f>
        <v>0</v>
      </c>
      <c r="G31" s="293"/>
      <c r="H31" s="293">
        <f t="shared" si="1"/>
        <v>0</v>
      </c>
      <c r="I31" s="294">
        <f t="shared" si="6"/>
        <v>0</v>
      </c>
      <c r="J31" s="294">
        <f t="shared" si="3"/>
        <v>0</v>
      </c>
      <c r="K31" s="295">
        <f t="shared" si="4"/>
        <v>0</v>
      </c>
    </row>
    <row r="32" spans="1:11">
      <c r="A32" s="4">
        <f t="shared" si="5"/>
        <v>28</v>
      </c>
      <c r="B32" s="68" t="s">
        <v>178</v>
      </c>
      <c r="C32" s="1764"/>
      <c r="D32" s="1767"/>
      <c r="E32" s="1761"/>
      <c r="F32" s="296">
        <f>COUNTIF('Location Summary'!$D$4:$D$616,'Tower PRS abstract '!B32)</f>
        <v>2</v>
      </c>
      <c r="G32" s="296">
        <v>2</v>
      </c>
      <c r="H32" s="296">
        <f t="shared" si="1"/>
        <v>0</v>
      </c>
      <c r="I32" s="297">
        <f t="shared" si="6"/>
        <v>2</v>
      </c>
      <c r="J32" s="297">
        <f t="shared" si="3"/>
        <v>2</v>
      </c>
      <c r="K32" s="298">
        <f t="shared" si="4"/>
        <v>0</v>
      </c>
    </row>
    <row r="33" spans="1:11">
      <c r="A33" s="4">
        <f t="shared" si="5"/>
        <v>29</v>
      </c>
      <c r="B33" s="68" t="s">
        <v>183</v>
      </c>
      <c r="C33" s="1764"/>
      <c r="D33" s="1767"/>
      <c r="E33" s="1761"/>
      <c r="F33" s="296">
        <f>COUNTIF('Location Summary'!$D$4:$D$616,'Tower PRS abstract '!B33)</f>
        <v>1</v>
      </c>
      <c r="G33" s="296">
        <v>1</v>
      </c>
      <c r="H33" s="296">
        <f t="shared" si="1"/>
        <v>0</v>
      </c>
      <c r="I33" s="297">
        <f t="shared" si="6"/>
        <v>1</v>
      </c>
      <c r="J33" s="297">
        <f t="shared" si="3"/>
        <v>1</v>
      </c>
      <c r="K33" s="298">
        <f t="shared" si="4"/>
        <v>0</v>
      </c>
    </row>
    <row r="34" spans="1:11">
      <c r="A34" s="4">
        <f t="shared" si="5"/>
        <v>30</v>
      </c>
      <c r="B34" s="68" t="s">
        <v>231</v>
      </c>
      <c r="C34" s="1764"/>
      <c r="D34" s="1767"/>
      <c r="E34" s="1761"/>
      <c r="F34" s="296">
        <f>COUNTIF('Location Summary'!$D$4:$D$616,'Tower PRS abstract '!B34)</f>
        <v>0</v>
      </c>
      <c r="G34" s="296"/>
      <c r="H34" s="296">
        <f t="shared" si="1"/>
        <v>0</v>
      </c>
      <c r="I34" s="297">
        <f t="shared" si="6"/>
        <v>0</v>
      </c>
      <c r="J34" s="297">
        <f t="shared" si="3"/>
        <v>0</v>
      </c>
      <c r="K34" s="298">
        <f t="shared" si="4"/>
        <v>0</v>
      </c>
    </row>
    <row r="35" spans="1:11" ht="15" thickBot="1">
      <c r="A35" s="30">
        <f t="shared" si="5"/>
        <v>31</v>
      </c>
      <c r="B35" s="181" t="s">
        <v>208</v>
      </c>
      <c r="C35" s="1765"/>
      <c r="D35" s="1768"/>
      <c r="E35" s="1762"/>
      <c r="F35" s="299">
        <f>COUNTIF('Location Summary'!$D$4:$D$616,'Tower PRS abstract '!B35)</f>
        <v>0</v>
      </c>
      <c r="G35" s="299"/>
      <c r="H35" s="299">
        <f t="shared" si="1"/>
        <v>0</v>
      </c>
      <c r="I35" s="300">
        <f t="shared" si="6"/>
        <v>0</v>
      </c>
      <c r="J35" s="300">
        <f t="shared" si="3"/>
        <v>0</v>
      </c>
      <c r="K35" s="301">
        <f t="shared" si="4"/>
        <v>0</v>
      </c>
    </row>
    <row r="36" spans="1:11">
      <c r="A36" s="182">
        <f t="shared" si="5"/>
        <v>32</v>
      </c>
      <c r="B36" s="421" t="s">
        <v>188</v>
      </c>
      <c r="C36" s="1769">
        <v>24</v>
      </c>
      <c r="D36" s="1766">
        <v>10</v>
      </c>
      <c r="E36" s="1760">
        <v>10</v>
      </c>
      <c r="F36" s="293">
        <f>COUNTIF('Location Summary'!$D$4:$D$616,'Tower PRS abstract '!B36)</f>
        <v>1</v>
      </c>
      <c r="G36" s="293">
        <v>1</v>
      </c>
      <c r="H36" s="293">
        <f t="shared" si="1"/>
        <v>0</v>
      </c>
      <c r="I36" s="294">
        <f t="shared" si="6"/>
        <v>1</v>
      </c>
      <c r="J36" s="294">
        <f t="shared" si="3"/>
        <v>1</v>
      </c>
      <c r="K36" s="295">
        <f t="shared" si="4"/>
        <v>0</v>
      </c>
    </row>
    <row r="37" spans="1:11">
      <c r="A37" s="4">
        <f t="shared" si="5"/>
        <v>33</v>
      </c>
      <c r="B37" s="68" t="s">
        <v>213</v>
      </c>
      <c r="C37" s="1764"/>
      <c r="D37" s="1767"/>
      <c r="E37" s="1761"/>
      <c r="F37" s="296">
        <f>COUNTIF('Location Summary'!$D$4:$D$616,'Tower PRS abstract '!B37)</f>
        <v>2</v>
      </c>
      <c r="G37" s="296">
        <v>2</v>
      </c>
      <c r="H37" s="296">
        <f t="shared" si="1"/>
        <v>0</v>
      </c>
      <c r="I37" s="297">
        <f t="shared" si="6"/>
        <v>2</v>
      </c>
      <c r="J37" s="297">
        <f t="shared" si="3"/>
        <v>2</v>
      </c>
      <c r="K37" s="298">
        <f t="shared" si="4"/>
        <v>0</v>
      </c>
    </row>
    <row r="38" spans="1:11">
      <c r="A38" s="4">
        <f t="shared" si="5"/>
        <v>34</v>
      </c>
      <c r="B38" s="68" t="s">
        <v>212</v>
      </c>
      <c r="C38" s="1764"/>
      <c r="D38" s="1767"/>
      <c r="E38" s="1761"/>
      <c r="F38" s="296">
        <f>COUNTIF('Location Summary'!$D$4:$D$616,'Tower PRS abstract '!B38)</f>
        <v>0</v>
      </c>
      <c r="G38" s="296">
        <v>0</v>
      </c>
      <c r="H38" s="296">
        <f t="shared" si="1"/>
        <v>0</v>
      </c>
      <c r="I38" s="297">
        <f t="shared" si="6"/>
        <v>0</v>
      </c>
      <c r="J38" s="297">
        <f t="shared" si="3"/>
        <v>0</v>
      </c>
      <c r="K38" s="298">
        <f t="shared" si="4"/>
        <v>0</v>
      </c>
    </row>
    <row r="39" spans="1:11">
      <c r="A39" s="4">
        <f t="shared" si="5"/>
        <v>35</v>
      </c>
      <c r="B39" s="68" t="s">
        <v>209</v>
      </c>
      <c r="C39" s="1764"/>
      <c r="D39" s="1767"/>
      <c r="E39" s="1761"/>
      <c r="F39" s="296">
        <f>COUNTIF('Location Summary'!$D$4:$D$616,'Tower PRS abstract '!B39)</f>
        <v>1</v>
      </c>
      <c r="G39" s="296">
        <v>1</v>
      </c>
      <c r="H39" s="296">
        <f t="shared" si="1"/>
        <v>0</v>
      </c>
      <c r="I39" s="297">
        <f t="shared" si="6"/>
        <v>1</v>
      </c>
      <c r="J39" s="297">
        <f>G39</f>
        <v>1</v>
      </c>
      <c r="K39" s="298">
        <f t="shared" si="4"/>
        <v>0</v>
      </c>
    </row>
    <row r="40" spans="1:11">
      <c r="A40" s="4">
        <f t="shared" si="5"/>
        <v>36</v>
      </c>
      <c r="B40" s="68" t="s">
        <v>186</v>
      </c>
      <c r="C40" s="1764"/>
      <c r="D40" s="1767"/>
      <c r="E40" s="1761"/>
      <c r="F40" s="296">
        <f>COUNTIF('Location Summary'!$D$4:$D$616,'Tower PRS abstract '!B40)</f>
        <v>3</v>
      </c>
      <c r="G40" s="296">
        <v>3</v>
      </c>
      <c r="H40" s="296">
        <f t="shared" si="1"/>
        <v>0</v>
      </c>
      <c r="I40" s="297">
        <f t="shared" si="6"/>
        <v>3</v>
      </c>
      <c r="J40" s="297">
        <f t="shared" si="3"/>
        <v>3</v>
      </c>
      <c r="K40" s="298">
        <f t="shared" si="4"/>
        <v>0</v>
      </c>
    </row>
    <row r="41" spans="1:11">
      <c r="A41" s="4">
        <f t="shared" si="5"/>
        <v>37</v>
      </c>
      <c r="B41" s="68" t="s">
        <v>218</v>
      </c>
      <c r="C41" s="1764"/>
      <c r="D41" s="1767"/>
      <c r="E41" s="1761"/>
      <c r="F41" s="296">
        <f>COUNTIF('Location Summary'!$D$4:$D$616,'Tower PRS abstract '!B41)</f>
        <v>1</v>
      </c>
      <c r="G41" s="296">
        <v>2</v>
      </c>
      <c r="H41" s="931">
        <f t="shared" si="1"/>
        <v>-1</v>
      </c>
      <c r="I41" s="297">
        <f t="shared" si="6"/>
        <v>1</v>
      </c>
      <c r="J41" s="297">
        <f t="shared" si="3"/>
        <v>2</v>
      </c>
      <c r="K41" s="298">
        <f t="shared" si="4"/>
        <v>-1</v>
      </c>
    </row>
    <row r="42" spans="1:11" ht="15" thickBot="1">
      <c r="A42" s="925">
        <f t="shared" si="5"/>
        <v>38</v>
      </c>
      <c r="B42" s="926" t="s">
        <v>431</v>
      </c>
      <c r="C42" s="1770"/>
      <c r="D42" s="1768"/>
      <c r="E42" s="1762"/>
      <c r="F42" s="299">
        <f>COUNTIF('Location Summary'!$D$4:$D$616,'Tower PRS abstract '!B42)</f>
        <v>2</v>
      </c>
      <c r="G42" s="299">
        <v>2</v>
      </c>
      <c r="H42" s="299">
        <f t="shared" si="1"/>
        <v>0</v>
      </c>
      <c r="I42" s="300">
        <f t="shared" si="6"/>
        <v>2</v>
      </c>
      <c r="J42" s="300">
        <f t="shared" si="3"/>
        <v>2</v>
      </c>
      <c r="K42" s="301">
        <f t="shared" si="4"/>
        <v>0</v>
      </c>
    </row>
    <row r="43" spans="1:11" ht="15" thickBot="1">
      <c r="A43" s="927"/>
      <c r="B43" s="928"/>
      <c r="C43" s="929"/>
      <c r="D43" s="929"/>
      <c r="E43" s="929"/>
      <c r="F43" s="929"/>
      <c r="G43" s="929"/>
      <c r="H43" s="929"/>
      <c r="I43" s="929"/>
      <c r="J43" s="929"/>
      <c r="K43" s="930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2" customWidth="1"/>
    <col min="2" max="2" width="18.54296875" style="832" customWidth="1"/>
    <col min="3" max="3" width="13.453125" style="832" customWidth="1"/>
    <col min="4" max="4" width="15.453125" style="832" customWidth="1"/>
    <col min="5" max="5" width="13" style="832" customWidth="1"/>
    <col min="6" max="6" width="14.26953125" style="832" customWidth="1"/>
    <col min="7" max="7" width="11.1796875" style="832" customWidth="1"/>
    <col min="8" max="8" width="7.26953125" style="832" customWidth="1"/>
    <col min="9" max="9" width="27.7265625" style="832" customWidth="1"/>
    <col min="10" max="10" width="13.26953125" style="832" customWidth="1"/>
    <col min="11" max="11" width="9.1796875" style="832"/>
    <col min="12" max="12" width="44.7265625" style="832" customWidth="1"/>
    <col min="13" max="13" width="10.81640625" style="832" customWidth="1"/>
    <col min="14" max="14" width="9.1796875" style="832"/>
    <col min="15" max="15" width="12.26953125" style="832" customWidth="1"/>
    <col min="16" max="16" width="9.1796875" style="832"/>
    <col min="17" max="17" width="9.1796875" style="832" customWidth="1"/>
    <col min="18" max="18" width="10.54296875" style="832" customWidth="1"/>
    <col min="19" max="19" width="13.453125" style="832" customWidth="1"/>
    <col min="20" max="16384" width="9.1796875" style="832"/>
  </cols>
  <sheetData>
    <row r="1" spans="1:19" ht="9.75" customHeight="1"/>
    <row r="2" spans="1:19" ht="16.5" customHeight="1">
      <c r="A2" s="1573" t="s">
        <v>1342</v>
      </c>
      <c r="B2" s="1573"/>
      <c r="C2" s="1573"/>
      <c r="D2" s="1573"/>
      <c r="E2" s="1573"/>
      <c r="F2" s="1573"/>
      <c r="G2" s="1573"/>
      <c r="H2" s="1573"/>
      <c r="I2" s="1573"/>
      <c r="J2" s="1573"/>
      <c r="K2" s="1573"/>
      <c r="L2" s="1573"/>
      <c r="M2" s="1573"/>
      <c r="N2" s="1573"/>
      <c r="O2" s="1573"/>
      <c r="P2" s="1573"/>
      <c r="Q2" s="1573"/>
    </row>
    <row r="3" spans="1:19" ht="16.5" customHeight="1">
      <c r="A3" s="844"/>
      <c r="B3" s="844"/>
      <c r="C3" s="844"/>
      <c r="D3" s="844"/>
      <c r="E3" s="844"/>
      <c r="F3" s="844"/>
      <c r="G3" s="844"/>
      <c r="H3" s="844"/>
      <c r="I3" s="844"/>
      <c r="J3" s="844"/>
      <c r="K3" s="844"/>
      <c r="L3" s="844"/>
      <c r="M3" s="844"/>
      <c r="N3" s="844"/>
      <c r="O3" s="844"/>
      <c r="P3" s="844"/>
      <c r="Q3" s="844"/>
    </row>
    <row r="4" spans="1:19" ht="28.5" customHeight="1">
      <c r="A4" s="844"/>
      <c r="B4" s="854" t="s">
        <v>131</v>
      </c>
      <c r="C4" s="1782" t="s">
        <v>1353</v>
      </c>
      <c r="D4" s="1782"/>
      <c r="E4" s="1783" t="s">
        <v>1354</v>
      </c>
      <c r="F4" s="1784"/>
      <c r="G4" s="1785" t="s">
        <v>255</v>
      </c>
      <c r="H4" s="1785"/>
      <c r="I4" s="1786" t="s">
        <v>1355</v>
      </c>
      <c r="J4" s="1786"/>
      <c r="K4" s="1786" t="s">
        <v>1356</v>
      </c>
      <c r="L4" s="1786"/>
      <c r="M4" s="844"/>
      <c r="N4" s="844"/>
      <c r="O4" s="844"/>
      <c r="P4" s="844"/>
      <c r="Q4" s="844"/>
    </row>
    <row r="5" spans="1:19" ht="16.5" customHeight="1">
      <c r="A5" s="844"/>
      <c r="B5" s="855" t="s">
        <v>1346</v>
      </c>
      <c r="C5" s="1779">
        <f>SUM(C12:C70)/1000</f>
        <v>117.85083100000003</v>
      </c>
      <c r="D5" s="1779"/>
      <c r="E5" s="1780"/>
      <c r="F5" s="1781"/>
      <c r="G5" s="1779"/>
      <c r="H5" s="1779"/>
      <c r="I5" s="1779"/>
      <c r="J5" s="1779"/>
      <c r="K5" s="1779"/>
      <c r="L5" s="1779"/>
      <c r="M5" s="844"/>
      <c r="N5" s="844"/>
      <c r="O5" s="844"/>
      <c r="P5" s="844"/>
      <c r="Q5" s="844"/>
    </row>
    <row r="6" spans="1:19" ht="16.5" customHeight="1">
      <c r="A6" s="844"/>
      <c r="B6" s="855" t="s">
        <v>1405</v>
      </c>
      <c r="C6" s="1779">
        <f>C5-C7</f>
        <v>110.17009600000003</v>
      </c>
      <c r="D6" s="1779"/>
      <c r="E6" s="1780"/>
      <c r="F6" s="1781"/>
      <c r="G6" s="1779"/>
      <c r="H6" s="1779"/>
      <c r="I6" s="1779"/>
      <c r="J6" s="1779"/>
      <c r="K6" s="1779"/>
      <c r="L6" s="1779"/>
      <c r="M6" s="844"/>
      <c r="N6" s="844"/>
      <c r="O6" s="844"/>
      <c r="P6" s="844"/>
      <c r="Q6" s="844"/>
    </row>
    <row r="7" spans="1:19" ht="16.5" customHeight="1">
      <c r="A7" s="844"/>
      <c r="B7" s="855" t="s">
        <v>1281</v>
      </c>
      <c r="C7" s="1779">
        <f>ROUNDUP(SUMIF($D$12:$D$70,$B7,$C$12:$C$70),3)/1000</f>
        <v>7.6807349999999994</v>
      </c>
      <c r="D7" s="1779"/>
      <c r="E7" s="1780"/>
      <c r="F7" s="1781"/>
      <c r="G7" s="1779"/>
      <c r="H7" s="1779"/>
      <c r="I7" s="1779"/>
      <c r="J7" s="1779"/>
      <c r="K7" s="1779"/>
      <c r="L7" s="1779"/>
      <c r="M7" s="844"/>
      <c r="N7" s="844"/>
      <c r="O7" s="844"/>
      <c r="P7" s="844"/>
      <c r="Q7" s="844"/>
    </row>
    <row r="8" spans="1:19" ht="16.5" customHeight="1" thickBot="1">
      <c r="A8" s="844"/>
      <c r="B8" s="844"/>
      <c r="C8" s="844"/>
      <c r="D8" s="844"/>
      <c r="E8" s="844"/>
      <c r="F8" s="844"/>
      <c r="G8" s="844"/>
      <c r="H8" s="844"/>
      <c r="I8" s="844"/>
      <c r="J8" s="844"/>
      <c r="K8" s="844"/>
      <c r="L8" s="844"/>
      <c r="M8" s="844"/>
      <c r="N8" s="844"/>
      <c r="O8" s="844"/>
      <c r="P8" s="844"/>
      <c r="Q8" s="844"/>
    </row>
    <row r="9" spans="1:19" ht="25.5" customHeight="1">
      <c r="A9" s="1434">
        <v>0</v>
      </c>
      <c r="B9" s="1567" t="s">
        <v>94</v>
      </c>
      <c r="C9" s="1567" t="s">
        <v>1343</v>
      </c>
      <c r="D9" s="1567" t="s">
        <v>1279</v>
      </c>
      <c r="E9" s="1567" t="s">
        <v>1280</v>
      </c>
      <c r="F9" s="1567" t="s">
        <v>1350</v>
      </c>
      <c r="G9" s="1569" t="s">
        <v>99</v>
      </c>
      <c r="H9" s="1570"/>
      <c r="I9" s="1776"/>
      <c r="J9" s="1569" t="s">
        <v>1345</v>
      </c>
      <c r="K9" s="1570"/>
      <c r="L9" s="1776"/>
      <c r="M9" s="1569" t="s">
        <v>1346</v>
      </c>
      <c r="N9" s="1570"/>
      <c r="O9" s="1570"/>
      <c r="P9" s="1776"/>
      <c r="Q9" s="257" t="s">
        <v>1</v>
      </c>
      <c r="R9" s="777" t="s">
        <v>1348</v>
      </c>
      <c r="S9" s="851" t="s">
        <v>1349</v>
      </c>
    </row>
    <row r="10" spans="1:19" ht="15" customHeight="1">
      <c r="A10" s="1633"/>
      <c r="B10" s="1639"/>
      <c r="C10" s="1639"/>
      <c r="D10" s="1639"/>
      <c r="E10" s="1639"/>
      <c r="F10" s="1639"/>
      <c r="G10" s="69"/>
      <c r="H10" s="1777" t="s">
        <v>0</v>
      </c>
      <c r="I10" s="1778"/>
      <c r="J10" s="69"/>
      <c r="K10" s="1777" t="s">
        <v>0</v>
      </c>
      <c r="L10" s="1778"/>
      <c r="M10" s="1777" t="s">
        <v>1347</v>
      </c>
      <c r="N10" s="1778"/>
      <c r="O10" s="1777" t="s">
        <v>18</v>
      </c>
      <c r="P10" s="1778"/>
      <c r="Q10" s="845"/>
      <c r="R10" s="845"/>
      <c r="S10" s="852"/>
    </row>
    <row r="11" spans="1:19" ht="16.5" customHeight="1" thickBot="1">
      <c r="A11" s="1435"/>
      <c r="B11" s="1568"/>
      <c r="C11" s="1568"/>
      <c r="D11" s="1568"/>
      <c r="E11" s="1568"/>
      <c r="F11" s="1568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1"/>
      <c r="R11" s="841"/>
      <c r="S11" s="853"/>
    </row>
    <row r="12" spans="1:19" customFormat="1" ht="14.25" customHeight="1">
      <c r="A12" s="856">
        <f>IF(B12="","",SUBTOTAL(3,$B$12:B12))</f>
        <v>1</v>
      </c>
      <c r="B12" s="857" t="s">
        <v>1352</v>
      </c>
      <c r="C12" s="858">
        <v>150.01400000000001</v>
      </c>
      <c r="D12" s="422" t="s">
        <v>1281</v>
      </c>
      <c r="E12" s="422"/>
      <c r="F12" s="422">
        <v>1</v>
      </c>
      <c r="G12" s="422">
        <v>0</v>
      </c>
      <c r="H12" s="422">
        <f>F12-G12</f>
        <v>1</v>
      </c>
      <c r="I12" s="422" t="s">
        <v>268</v>
      </c>
      <c r="J12" s="422">
        <v>0</v>
      </c>
      <c r="K12" s="3">
        <f t="shared" ref="K12:K69" si="0">F12-J12</f>
        <v>1</v>
      </c>
      <c r="L12" s="422" t="s">
        <v>268</v>
      </c>
      <c r="M12" s="858"/>
      <c r="N12" s="422"/>
      <c r="O12" s="858"/>
      <c r="P12" s="859"/>
      <c r="Q12" s="422"/>
      <c r="R12" s="859"/>
      <c r="S12" s="860"/>
    </row>
    <row r="13" spans="1:19" customFormat="1" ht="14.25" customHeight="1">
      <c r="A13" s="861">
        <f>IF(B13="","",SUBTOTAL(3,$B$12:B13))</f>
        <v>2</v>
      </c>
      <c r="B13" s="857" t="s">
        <v>1378</v>
      </c>
      <c r="C13" s="858">
        <v>290.20999999999998</v>
      </c>
      <c r="D13" s="296" t="s">
        <v>1281</v>
      </c>
      <c r="E13" s="296"/>
      <c r="F13" s="296">
        <v>1</v>
      </c>
      <c r="G13" s="296">
        <v>0</v>
      </c>
      <c r="H13" s="296">
        <f t="shared" ref="H13:H70" si="1">F13-G13</f>
        <v>1</v>
      </c>
      <c r="I13" s="296" t="s">
        <v>1250</v>
      </c>
      <c r="J13" s="296">
        <v>0</v>
      </c>
      <c r="K13" s="3">
        <f t="shared" si="0"/>
        <v>1</v>
      </c>
      <c r="L13" s="296" t="s">
        <v>1250</v>
      </c>
      <c r="M13" s="863"/>
      <c r="N13" s="296"/>
      <c r="O13" s="863"/>
      <c r="P13" s="864"/>
      <c r="Q13" s="296"/>
      <c r="R13" s="864"/>
      <c r="S13" s="865"/>
    </row>
    <row r="14" spans="1:19" customFormat="1" ht="14.25" customHeight="1">
      <c r="A14" s="856">
        <f>IF(B14="","",SUBTOTAL(3,$B$12:B14))</f>
        <v>3</v>
      </c>
      <c r="B14" s="857" t="s">
        <v>1379</v>
      </c>
      <c r="C14" s="858">
        <v>2836.9920000000002</v>
      </c>
      <c r="D14" s="296" t="s">
        <v>1282</v>
      </c>
      <c r="E14" s="296"/>
      <c r="F14" s="296">
        <v>7</v>
      </c>
      <c r="G14" s="296">
        <v>5</v>
      </c>
      <c r="H14" s="296">
        <f t="shared" si="1"/>
        <v>2</v>
      </c>
      <c r="I14" s="296" t="s">
        <v>1407</v>
      </c>
      <c r="J14" s="296">
        <v>0</v>
      </c>
      <c r="K14" s="3">
        <f t="shared" si="0"/>
        <v>7</v>
      </c>
      <c r="L14" s="296" t="s">
        <v>1380</v>
      </c>
      <c r="M14" s="863"/>
      <c r="N14" s="296"/>
      <c r="O14" s="863"/>
      <c r="P14" s="864"/>
      <c r="Q14" s="296"/>
      <c r="R14" s="864"/>
      <c r="S14" s="865"/>
    </row>
    <row r="15" spans="1:19" customFormat="1" ht="13.9" customHeight="1">
      <c r="A15" s="861">
        <f>IF(B15="","",SUBTOTAL(3,$B$12:B15))</f>
        <v>4</v>
      </c>
      <c r="B15" s="857" t="s">
        <v>1381</v>
      </c>
      <c r="C15" s="858">
        <v>2691.4670000000001</v>
      </c>
      <c r="D15" s="296" t="s">
        <v>1282</v>
      </c>
      <c r="E15" s="296"/>
      <c r="F15" s="296">
        <v>7</v>
      </c>
      <c r="G15" s="296">
        <v>7</v>
      </c>
      <c r="H15" s="296">
        <f t="shared" si="1"/>
        <v>0</v>
      </c>
      <c r="I15" s="296"/>
      <c r="J15" s="296">
        <v>0</v>
      </c>
      <c r="K15" s="3">
        <f t="shared" si="0"/>
        <v>7</v>
      </c>
      <c r="L15" s="296" t="s">
        <v>1382</v>
      </c>
      <c r="M15" s="863"/>
      <c r="N15" s="296"/>
      <c r="O15" s="863"/>
      <c r="P15" s="864"/>
      <c r="Q15" s="296"/>
      <c r="R15" s="864"/>
      <c r="S15" s="865"/>
    </row>
    <row r="16" spans="1:19" customFormat="1" ht="14.25" customHeight="1">
      <c r="A16" s="856">
        <f>IF(B16="","",SUBTOTAL(3,$B$12:B16))</f>
        <v>5</v>
      </c>
      <c r="B16" s="857" t="s">
        <v>1383</v>
      </c>
      <c r="C16" s="858">
        <v>1627.07</v>
      </c>
      <c r="D16" s="296" t="s">
        <v>1282</v>
      </c>
      <c r="E16" s="296"/>
      <c r="F16" s="296">
        <v>4</v>
      </c>
      <c r="G16" s="296">
        <v>2</v>
      </c>
      <c r="H16" s="296">
        <f t="shared" si="1"/>
        <v>2</v>
      </c>
      <c r="I16" s="296" t="s">
        <v>1400</v>
      </c>
      <c r="J16" s="296">
        <v>0</v>
      </c>
      <c r="K16" s="3">
        <f t="shared" si="0"/>
        <v>4</v>
      </c>
      <c r="L16" s="296" t="s">
        <v>1384</v>
      </c>
      <c r="M16" s="863"/>
      <c r="N16" s="296"/>
      <c r="O16" s="863"/>
      <c r="P16" s="864"/>
      <c r="Q16" s="296"/>
      <c r="R16" s="864"/>
      <c r="S16" s="865"/>
    </row>
    <row r="17" spans="1:19" customFormat="1" ht="14.25" customHeight="1">
      <c r="A17" s="861">
        <f>IF(B17="","",SUBTOTAL(3,$B$12:B17))</f>
        <v>6</v>
      </c>
      <c r="B17" s="862" t="s">
        <v>1290</v>
      </c>
      <c r="C17" s="858">
        <v>709.16300000000001</v>
      </c>
      <c r="D17" s="296" t="s">
        <v>1282</v>
      </c>
      <c r="E17" s="296"/>
      <c r="F17" s="296">
        <v>2</v>
      </c>
      <c r="G17" s="296">
        <v>2</v>
      </c>
      <c r="H17" s="296">
        <f t="shared" si="1"/>
        <v>0</v>
      </c>
      <c r="I17" s="296"/>
      <c r="J17" s="296">
        <v>0</v>
      </c>
      <c r="K17" s="3">
        <f t="shared" si="0"/>
        <v>2</v>
      </c>
      <c r="L17" s="296" t="s">
        <v>1385</v>
      </c>
      <c r="M17" s="863"/>
      <c r="N17" s="296"/>
      <c r="O17" s="863"/>
      <c r="P17" s="864"/>
      <c r="Q17" s="296"/>
      <c r="R17" s="864"/>
      <c r="S17" s="865"/>
    </row>
    <row r="18" spans="1:19" customFormat="1" ht="14.25" customHeight="1">
      <c r="A18" s="856">
        <f>IF(B18="","",SUBTOTAL(3,$B$12:B18))</f>
        <v>7</v>
      </c>
      <c r="B18" s="862" t="s">
        <v>1291</v>
      </c>
      <c r="C18" s="858">
        <v>2681.6109999999999</v>
      </c>
      <c r="D18" s="296" t="s">
        <v>1282</v>
      </c>
      <c r="E18" s="296"/>
      <c r="F18" s="296">
        <v>7</v>
      </c>
      <c r="G18" s="296">
        <v>7</v>
      </c>
      <c r="H18" s="296">
        <f t="shared" si="1"/>
        <v>0</v>
      </c>
      <c r="I18" s="296"/>
      <c r="J18" s="296">
        <v>0</v>
      </c>
      <c r="K18" s="3">
        <f t="shared" si="0"/>
        <v>7</v>
      </c>
      <c r="L18" s="296" t="s">
        <v>1386</v>
      </c>
      <c r="M18" s="863"/>
      <c r="N18" s="296"/>
      <c r="O18" s="863"/>
      <c r="P18" s="864"/>
      <c r="Q18" s="296"/>
      <c r="R18" s="864"/>
      <c r="S18" s="865"/>
    </row>
    <row r="19" spans="1:19" customFormat="1" ht="14.25" customHeight="1">
      <c r="A19" s="861">
        <f>IF(B19="","",SUBTOTAL(3,$B$12:B19))</f>
        <v>8</v>
      </c>
      <c r="B19" s="862" t="s">
        <v>1292</v>
      </c>
      <c r="C19" s="858">
        <v>4418.3890000000001</v>
      </c>
      <c r="D19" s="296" t="s">
        <v>1282</v>
      </c>
      <c r="E19" s="296"/>
      <c r="F19" s="296">
        <v>11</v>
      </c>
      <c r="G19" s="296">
        <v>11</v>
      </c>
      <c r="H19" s="296">
        <f t="shared" si="1"/>
        <v>0</v>
      </c>
      <c r="I19" s="296"/>
      <c r="J19" s="296">
        <v>0</v>
      </c>
      <c r="K19" s="3">
        <f t="shared" si="0"/>
        <v>11</v>
      </c>
      <c r="L19" s="296" t="s">
        <v>1387</v>
      </c>
      <c r="M19" s="863"/>
      <c r="N19" s="296"/>
      <c r="O19" s="863"/>
      <c r="P19" s="864"/>
      <c r="Q19" s="296"/>
      <c r="R19" s="864"/>
      <c r="S19" s="865"/>
    </row>
    <row r="20" spans="1:19" customFormat="1" ht="14.25" customHeight="1">
      <c r="A20" s="856">
        <f>IF(B20="","",SUBTOTAL(3,$B$12:B20))</f>
        <v>9</v>
      </c>
      <c r="B20" s="862" t="s">
        <v>1293</v>
      </c>
      <c r="C20" s="858">
        <v>419.48</v>
      </c>
      <c r="D20" s="296" t="s">
        <v>1281</v>
      </c>
      <c r="E20" s="296"/>
      <c r="F20" s="296">
        <v>1</v>
      </c>
      <c r="G20" s="296">
        <v>1</v>
      </c>
      <c r="H20" s="296">
        <f t="shared" si="1"/>
        <v>0</v>
      </c>
      <c r="I20" s="296"/>
      <c r="J20" s="296">
        <v>0</v>
      </c>
      <c r="K20" s="3">
        <f t="shared" si="0"/>
        <v>1</v>
      </c>
      <c r="L20" s="296" t="s">
        <v>258</v>
      </c>
      <c r="M20" s="863"/>
      <c r="N20" s="296"/>
      <c r="O20" s="863"/>
      <c r="P20" s="864"/>
      <c r="Q20" s="296"/>
      <c r="R20" s="864"/>
      <c r="S20" s="865"/>
    </row>
    <row r="21" spans="1:19" customFormat="1" ht="14.25" customHeight="1">
      <c r="A21" s="861">
        <f>IF(B21="","",SUBTOTAL(3,$B$12:B21))</f>
        <v>10</v>
      </c>
      <c r="B21" s="862" t="s">
        <v>1294</v>
      </c>
      <c r="C21" s="858">
        <v>4901.2360000000008</v>
      </c>
      <c r="D21" s="296" t="s">
        <v>1282</v>
      </c>
      <c r="E21" s="296"/>
      <c r="F21" s="296">
        <v>13</v>
      </c>
      <c r="G21" s="296">
        <v>13</v>
      </c>
      <c r="H21" s="296">
        <f t="shared" si="1"/>
        <v>0</v>
      </c>
      <c r="I21" s="296"/>
      <c r="J21" s="296">
        <v>0</v>
      </c>
      <c r="K21" s="3">
        <f t="shared" si="0"/>
        <v>13</v>
      </c>
      <c r="L21" s="296" t="s">
        <v>1388</v>
      </c>
      <c r="M21" s="863"/>
      <c r="N21" s="296"/>
      <c r="O21" s="863"/>
      <c r="P21" s="864"/>
      <c r="Q21" s="296"/>
      <c r="R21" s="864"/>
      <c r="S21" s="865"/>
    </row>
    <row r="22" spans="1:19" customFormat="1" ht="14.25" customHeight="1">
      <c r="A22" s="856">
        <f>IF(B22="","",SUBTOTAL(3,$B$12:B22))</f>
        <v>11</v>
      </c>
      <c r="B22" s="862" t="s">
        <v>1295</v>
      </c>
      <c r="C22" s="858">
        <v>2699.2840000000001</v>
      </c>
      <c r="D22" s="296" t="s">
        <v>1282</v>
      </c>
      <c r="E22" s="296"/>
      <c r="F22" s="296">
        <v>7</v>
      </c>
      <c r="G22" s="296">
        <v>7</v>
      </c>
      <c r="H22" s="296">
        <f t="shared" si="1"/>
        <v>0</v>
      </c>
      <c r="I22" s="296"/>
      <c r="J22" s="296">
        <v>6</v>
      </c>
      <c r="K22" s="3">
        <f t="shared" si="0"/>
        <v>1</v>
      </c>
      <c r="L22" s="948" t="s">
        <v>480</v>
      </c>
      <c r="M22" s="863"/>
      <c r="N22" s="296"/>
      <c r="O22" s="863"/>
      <c r="P22" s="864"/>
      <c r="Q22" s="296"/>
      <c r="R22" s="864"/>
      <c r="S22" s="865"/>
    </row>
    <row r="23" spans="1:19" customFormat="1" ht="14.25" customHeight="1">
      <c r="A23" s="856">
        <f>IF(B23="","",SUBTOTAL(3,$B$12:B23))</f>
        <v>12</v>
      </c>
      <c r="B23" s="862" t="s">
        <v>1296</v>
      </c>
      <c r="C23" s="858">
        <v>2434.77</v>
      </c>
      <c r="D23" s="296" t="s">
        <v>1282</v>
      </c>
      <c r="E23" s="296"/>
      <c r="F23" s="296">
        <v>6</v>
      </c>
      <c r="G23" s="296">
        <v>6</v>
      </c>
      <c r="H23" s="296">
        <f t="shared" si="1"/>
        <v>0</v>
      </c>
      <c r="I23" s="296"/>
      <c r="J23" s="296">
        <v>6</v>
      </c>
      <c r="K23" s="3">
        <f t="shared" si="0"/>
        <v>0</v>
      </c>
      <c r="L23" s="948"/>
      <c r="M23" s="863"/>
      <c r="N23" s="296"/>
      <c r="O23" s="863"/>
      <c r="P23" s="864"/>
      <c r="Q23" s="296"/>
      <c r="R23" s="864"/>
      <c r="S23" s="865"/>
    </row>
    <row r="24" spans="1:19" customFormat="1" ht="14.25" customHeight="1">
      <c r="A24" s="856">
        <f>IF(B24="","",SUBTOTAL(3,$B$12:B24))</f>
        <v>13</v>
      </c>
      <c r="B24" s="862" t="s">
        <v>1297</v>
      </c>
      <c r="C24" s="858">
        <v>4455</v>
      </c>
      <c r="D24" s="296" t="s">
        <v>1282</v>
      </c>
      <c r="E24" s="296"/>
      <c r="F24" s="296">
        <v>12</v>
      </c>
      <c r="G24" s="296">
        <v>11</v>
      </c>
      <c r="H24" s="296">
        <f t="shared" si="1"/>
        <v>1</v>
      </c>
      <c r="I24" s="296" t="s">
        <v>484</v>
      </c>
      <c r="J24" s="296">
        <v>10</v>
      </c>
      <c r="K24" s="3">
        <f t="shared" si="0"/>
        <v>2</v>
      </c>
      <c r="L24" s="296"/>
      <c r="M24" s="863"/>
      <c r="N24" s="296"/>
      <c r="O24" s="863"/>
      <c r="P24" s="864"/>
      <c r="Q24" s="296"/>
      <c r="R24" s="864"/>
      <c r="S24" s="865"/>
    </row>
    <row r="25" spans="1:19" customFormat="1" ht="14.25" customHeight="1">
      <c r="A25" s="861">
        <f>IF(B25="","",SUBTOTAL(3,$B$12:B25))</f>
        <v>14</v>
      </c>
      <c r="B25" s="862" t="s">
        <v>1298</v>
      </c>
      <c r="C25" s="858">
        <v>466.62900000000002</v>
      </c>
      <c r="D25" s="296" t="s">
        <v>1281</v>
      </c>
      <c r="E25" s="296"/>
      <c r="F25" s="296">
        <v>1</v>
      </c>
      <c r="G25" s="296">
        <v>0</v>
      </c>
      <c r="H25" s="296">
        <f t="shared" si="1"/>
        <v>1</v>
      </c>
      <c r="I25" s="296" t="s">
        <v>263</v>
      </c>
      <c r="J25" s="296">
        <v>0</v>
      </c>
      <c r="K25" s="3">
        <f t="shared" si="0"/>
        <v>1</v>
      </c>
      <c r="L25" s="296"/>
      <c r="M25" s="863"/>
      <c r="N25" s="296"/>
      <c r="O25" s="863"/>
      <c r="P25" s="864"/>
      <c r="Q25" s="296"/>
      <c r="R25" s="864"/>
      <c r="S25" s="865"/>
    </row>
    <row r="26" spans="1:19" customFormat="1" ht="14.25" customHeight="1">
      <c r="A26" s="856">
        <f>IF(B26="","",SUBTOTAL(3,$B$12:B26))</f>
        <v>15</v>
      </c>
      <c r="B26" s="862" t="s">
        <v>1299</v>
      </c>
      <c r="C26" s="858">
        <v>4964.92</v>
      </c>
      <c r="D26" s="296" t="s">
        <v>1282</v>
      </c>
      <c r="E26" s="296"/>
      <c r="F26" s="296">
        <v>12</v>
      </c>
      <c r="G26" s="296">
        <v>12</v>
      </c>
      <c r="H26" s="296">
        <f t="shared" si="1"/>
        <v>0</v>
      </c>
      <c r="I26" s="296"/>
      <c r="J26" s="296">
        <v>4</v>
      </c>
      <c r="K26" s="3">
        <f t="shared" si="0"/>
        <v>8</v>
      </c>
      <c r="L26" s="296"/>
      <c r="M26" s="863"/>
      <c r="N26" s="296"/>
      <c r="O26" s="863"/>
      <c r="P26" s="864"/>
      <c r="Q26" s="296"/>
      <c r="R26" s="864"/>
      <c r="S26" s="865"/>
    </row>
    <row r="27" spans="1:19" customFormat="1" ht="14.25" customHeight="1">
      <c r="A27" s="861">
        <f>IF(B27="","",SUBTOTAL(3,$B$12:B27))</f>
        <v>16</v>
      </c>
      <c r="B27" s="862" t="s">
        <v>1300</v>
      </c>
      <c r="C27" s="858">
        <v>1004.183</v>
      </c>
      <c r="D27" s="296" t="s">
        <v>1282</v>
      </c>
      <c r="E27" s="296"/>
      <c r="F27" s="296">
        <v>3</v>
      </c>
      <c r="G27" s="296">
        <v>2</v>
      </c>
      <c r="H27" s="296">
        <f t="shared" si="1"/>
        <v>1</v>
      </c>
      <c r="I27" s="296" t="s">
        <v>265</v>
      </c>
      <c r="J27" s="296"/>
      <c r="K27" s="3">
        <f t="shared" si="0"/>
        <v>3</v>
      </c>
      <c r="L27" s="296"/>
      <c r="M27" s="863"/>
      <c r="N27" s="296"/>
      <c r="O27" s="863"/>
      <c r="P27" s="864"/>
      <c r="Q27" s="296"/>
      <c r="R27" s="864"/>
      <c r="S27" s="865"/>
    </row>
    <row r="28" spans="1:19" customFormat="1" ht="14.25" customHeight="1">
      <c r="A28" s="856">
        <f>IF(B28="","",SUBTOTAL(3,$B$12:B28))</f>
        <v>17</v>
      </c>
      <c r="B28" s="862" t="s">
        <v>1301</v>
      </c>
      <c r="C28" s="858">
        <v>242.893</v>
      </c>
      <c r="D28" s="296" t="s">
        <v>1281</v>
      </c>
      <c r="E28" s="296" t="s">
        <v>689</v>
      </c>
      <c r="F28" s="296">
        <v>1</v>
      </c>
      <c r="G28" s="296">
        <v>0</v>
      </c>
      <c r="H28" s="296">
        <f t="shared" si="1"/>
        <v>1</v>
      </c>
      <c r="I28" s="296" t="s">
        <v>266</v>
      </c>
      <c r="J28" s="296"/>
      <c r="K28" s="3">
        <f t="shared" si="0"/>
        <v>1</v>
      </c>
      <c r="L28" s="296"/>
      <c r="M28" s="863"/>
      <c r="N28" s="296"/>
      <c r="O28" s="863"/>
      <c r="P28" s="864"/>
      <c r="Q28" s="296"/>
      <c r="R28" s="864"/>
      <c r="S28" s="865"/>
    </row>
    <row r="29" spans="1:19" customFormat="1" ht="14.25" customHeight="1">
      <c r="A29" s="861">
        <f>IF(B29="","",SUBTOTAL(3,$B$12:B29))</f>
        <v>18</v>
      </c>
      <c r="B29" s="862" t="s">
        <v>1302</v>
      </c>
      <c r="C29" s="858">
        <v>329.72800000000001</v>
      </c>
      <c r="D29" s="296" t="s">
        <v>1281</v>
      </c>
      <c r="E29" s="296" t="s">
        <v>1283</v>
      </c>
      <c r="F29" s="296">
        <v>1</v>
      </c>
      <c r="G29" s="296">
        <v>1</v>
      </c>
      <c r="H29" s="296">
        <f t="shared" si="1"/>
        <v>0</v>
      </c>
      <c r="I29" s="296"/>
      <c r="J29" s="296"/>
      <c r="K29" s="3">
        <f t="shared" si="0"/>
        <v>1</v>
      </c>
      <c r="L29" s="296"/>
      <c r="M29" s="863"/>
      <c r="N29" s="296"/>
      <c r="O29" s="863"/>
      <c r="P29" s="864"/>
      <c r="Q29" s="296"/>
      <c r="R29" s="864"/>
      <c r="S29" s="865"/>
    </row>
    <row r="30" spans="1:19" customFormat="1" ht="14.25" customHeight="1">
      <c r="A30" s="856">
        <f>IF(B30="","",SUBTOTAL(3,$B$12:B30))</f>
        <v>19</v>
      </c>
      <c r="B30" s="862" t="s">
        <v>1303</v>
      </c>
      <c r="C30" s="858">
        <v>416.87799999999999</v>
      </c>
      <c r="D30" s="296" t="s">
        <v>1281</v>
      </c>
      <c r="E30" s="296"/>
      <c r="F30" s="296">
        <v>1</v>
      </c>
      <c r="G30" s="296">
        <v>1</v>
      </c>
      <c r="H30" s="296">
        <f t="shared" si="1"/>
        <v>0</v>
      </c>
      <c r="I30" s="296"/>
      <c r="J30" s="296"/>
      <c r="K30" s="3">
        <f t="shared" si="0"/>
        <v>1</v>
      </c>
      <c r="L30" s="296"/>
      <c r="M30" s="863"/>
      <c r="N30" s="296"/>
      <c r="O30" s="863"/>
      <c r="P30" s="864"/>
      <c r="Q30" s="296"/>
      <c r="R30" s="864"/>
      <c r="S30" s="865"/>
    </row>
    <row r="31" spans="1:19" customFormat="1" ht="14.25" customHeight="1">
      <c r="A31" s="861">
        <f>IF(B31="","",SUBTOTAL(3,$B$12:B31))</f>
        <v>20</v>
      </c>
      <c r="B31" s="862" t="s">
        <v>1304</v>
      </c>
      <c r="C31" s="858">
        <v>480.26900000000001</v>
      </c>
      <c r="D31" s="296" t="s">
        <v>1281</v>
      </c>
      <c r="E31" s="296"/>
      <c r="F31" s="296">
        <v>1</v>
      </c>
      <c r="G31" s="296">
        <v>0</v>
      </c>
      <c r="H31" s="296">
        <f t="shared" si="1"/>
        <v>1</v>
      </c>
      <c r="I31" s="296" t="s">
        <v>11</v>
      </c>
      <c r="J31" s="296"/>
      <c r="K31" s="3">
        <f t="shared" si="0"/>
        <v>1</v>
      </c>
      <c r="L31" s="296"/>
      <c r="M31" s="863"/>
      <c r="N31" s="296"/>
      <c r="O31" s="863"/>
      <c r="P31" s="864"/>
      <c r="Q31" s="296"/>
      <c r="R31" s="864"/>
      <c r="S31" s="865"/>
    </row>
    <row r="32" spans="1:19" customFormat="1" ht="14.25" customHeight="1">
      <c r="A32" s="856">
        <f>IF(B32="","",SUBTOTAL(3,$B$12:B32))</f>
        <v>21</v>
      </c>
      <c r="B32" s="862" t="s">
        <v>1305</v>
      </c>
      <c r="C32" s="858">
        <v>223.816</v>
      </c>
      <c r="D32" s="296" t="s">
        <v>1281</v>
      </c>
      <c r="E32" s="296" t="s">
        <v>1284</v>
      </c>
      <c r="F32" s="296">
        <v>1</v>
      </c>
      <c r="G32" s="296">
        <v>1</v>
      </c>
      <c r="H32" s="296">
        <f t="shared" si="1"/>
        <v>0</v>
      </c>
      <c r="I32" s="296"/>
      <c r="J32" s="296"/>
      <c r="K32" s="3">
        <f t="shared" si="0"/>
        <v>1</v>
      </c>
      <c r="L32" s="296"/>
      <c r="M32" s="863"/>
      <c r="N32" s="296"/>
      <c r="O32" s="863"/>
      <c r="P32" s="864"/>
      <c r="Q32" s="296"/>
      <c r="R32" s="864"/>
      <c r="S32" s="865"/>
    </row>
    <row r="33" spans="1:19" customFormat="1" ht="14.25" customHeight="1">
      <c r="A33" s="861">
        <f>IF(B33="","",SUBTOTAL(3,$B$12:B33))</f>
        <v>22</v>
      </c>
      <c r="B33" s="862" t="s">
        <v>1306</v>
      </c>
      <c r="C33" s="858">
        <v>5019.34</v>
      </c>
      <c r="D33" s="296" t="s">
        <v>1282</v>
      </c>
      <c r="E33" s="296"/>
      <c r="F33" s="296">
        <v>13</v>
      </c>
      <c r="G33" s="296">
        <v>13</v>
      </c>
      <c r="H33" s="296">
        <f t="shared" si="1"/>
        <v>0</v>
      </c>
      <c r="I33" s="296"/>
      <c r="J33" s="296">
        <v>4</v>
      </c>
      <c r="K33" s="3">
        <f t="shared" si="0"/>
        <v>9</v>
      </c>
      <c r="L33" s="296"/>
      <c r="M33" s="863"/>
      <c r="N33" s="296"/>
      <c r="O33" s="863"/>
      <c r="P33" s="864"/>
      <c r="Q33" s="296"/>
      <c r="R33" s="864"/>
      <c r="S33" s="865"/>
    </row>
    <row r="34" spans="1:19" customFormat="1" ht="14.25" customHeight="1">
      <c r="A34" s="856">
        <f>IF(B34="","",SUBTOTAL(3,$B$12:B34))</f>
        <v>23</v>
      </c>
      <c r="B34" s="862" t="s">
        <v>1307</v>
      </c>
      <c r="C34" s="858">
        <v>392.69400000000002</v>
      </c>
      <c r="D34" s="296" t="s">
        <v>1281</v>
      </c>
      <c r="E34" s="296"/>
      <c r="F34" s="296">
        <v>1</v>
      </c>
      <c r="G34" s="296">
        <v>1</v>
      </c>
      <c r="H34" s="296">
        <f t="shared" si="1"/>
        <v>0</v>
      </c>
      <c r="I34" s="296"/>
      <c r="J34" s="296"/>
      <c r="K34" s="3">
        <f t="shared" si="0"/>
        <v>1</v>
      </c>
      <c r="L34" s="296"/>
      <c r="M34" s="863"/>
      <c r="N34" s="296"/>
      <c r="O34" s="863"/>
      <c r="P34" s="864"/>
      <c r="Q34" s="296"/>
      <c r="R34" s="864"/>
      <c r="S34" s="865"/>
    </row>
    <row r="35" spans="1:19" customFormat="1" ht="14.25" customHeight="1">
      <c r="A35" s="856">
        <f>IF(B35="","",SUBTOTAL(3,$B$12:B35))</f>
        <v>24</v>
      </c>
      <c r="B35" s="862" t="s">
        <v>1308</v>
      </c>
      <c r="C35" s="858">
        <v>398.404</v>
      </c>
      <c r="D35" s="296" t="s">
        <v>1281</v>
      </c>
      <c r="E35" s="296"/>
      <c r="F35" s="296">
        <v>1</v>
      </c>
      <c r="G35" s="296">
        <v>1</v>
      </c>
      <c r="H35" s="296">
        <f t="shared" si="1"/>
        <v>0</v>
      </c>
      <c r="I35" s="296"/>
      <c r="J35" s="296"/>
      <c r="K35" s="3">
        <f t="shared" si="0"/>
        <v>1</v>
      </c>
      <c r="L35" s="296"/>
      <c r="M35" s="863"/>
      <c r="N35" s="296"/>
      <c r="O35" s="863"/>
      <c r="P35" s="864"/>
      <c r="Q35" s="296"/>
      <c r="R35" s="864"/>
      <c r="S35" s="865"/>
    </row>
    <row r="36" spans="1:19" customFormat="1" ht="14.25" customHeight="1">
      <c r="A36" s="856">
        <f>IF(B36="","",SUBTOTAL(3,$B$12:B36))</f>
        <v>25</v>
      </c>
      <c r="B36" s="862" t="s">
        <v>1309</v>
      </c>
      <c r="C36" s="858">
        <v>3030.0290000000005</v>
      </c>
      <c r="D36" s="296" t="s">
        <v>1282</v>
      </c>
      <c r="E36" s="296"/>
      <c r="F36" s="296">
        <v>8</v>
      </c>
      <c r="G36" s="296">
        <v>7</v>
      </c>
      <c r="H36" s="296">
        <f t="shared" si="1"/>
        <v>1</v>
      </c>
      <c r="I36" s="296" t="s">
        <v>52</v>
      </c>
      <c r="J36" s="296"/>
      <c r="K36" s="3">
        <f t="shared" si="0"/>
        <v>8</v>
      </c>
      <c r="L36" s="296"/>
      <c r="M36" s="863"/>
      <c r="N36" s="296"/>
      <c r="O36" s="863"/>
      <c r="P36" s="864"/>
      <c r="Q36" s="296"/>
      <c r="R36" s="864"/>
      <c r="S36" s="865"/>
    </row>
    <row r="37" spans="1:19" customFormat="1" ht="14.25" customHeight="1">
      <c r="A37" s="856">
        <f>IF(B37="","",SUBTOTAL(3,$B$12:B37))</f>
        <v>26</v>
      </c>
      <c r="B37" s="862" t="s">
        <v>1310</v>
      </c>
      <c r="C37" s="858">
        <v>279.36</v>
      </c>
      <c r="D37" s="296" t="s">
        <v>1281</v>
      </c>
      <c r="E37" s="296" t="s">
        <v>1351</v>
      </c>
      <c r="F37" s="296">
        <v>1</v>
      </c>
      <c r="G37" s="296">
        <v>0</v>
      </c>
      <c r="H37" s="296">
        <f t="shared" si="1"/>
        <v>1</v>
      </c>
      <c r="I37" s="296" t="s">
        <v>53</v>
      </c>
      <c r="J37" s="296"/>
      <c r="K37" s="3">
        <f t="shared" si="0"/>
        <v>1</v>
      </c>
      <c r="L37" s="296"/>
      <c r="M37" s="863"/>
      <c r="N37" s="296"/>
      <c r="O37" s="863"/>
      <c r="P37" s="864"/>
      <c r="Q37" s="296"/>
      <c r="R37" s="864"/>
      <c r="S37" s="865"/>
    </row>
    <row r="38" spans="1:19" customFormat="1" ht="14.25" customHeight="1">
      <c r="A38" s="856">
        <f>IF(B38="","",SUBTOTAL(3,$B$12:B38))</f>
        <v>27</v>
      </c>
      <c r="B38" s="862" t="s">
        <v>1311</v>
      </c>
      <c r="C38" s="858">
        <v>2550.1669999999999</v>
      </c>
      <c r="D38" s="296" t="s">
        <v>1282</v>
      </c>
      <c r="E38" s="296"/>
      <c r="F38" s="296">
        <v>7</v>
      </c>
      <c r="G38" s="296">
        <v>2</v>
      </c>
      <c r="H38" s="296">
        <f t="shared" si="1"/>
        <v>5</v>
      </c>
      <c r="I38" s="296" t="s">
        <v>1389</v>
      </c>
      <c r="J38" s="296"/>
      <c r="K38" s="3">
        <f t="shared" si="0"/>
        <v>7</v>
      </c>
      <c r="L38" s="296"/>
      <c r="M38" s="863"/>
      <c r="N38" s="296"/>
      <c r="O38" s="863"/>
      <c r="P38" s="864"/>
      <c r="Q38" s="296"/>
      <c r="R38" s="864"/>
      <c r="S38" s="865"/>
    </row>
    <row r="39" spans="1:19" customFormat="1" ht="14.25" customHeight="1">
      <c r="A39" s="856">
        <f>IF(B39="","",SUBTOTAL(3,$B$12:B39))</f>
        <v>28</v>
      </c>
      <c r="B39" s="862" t="s">
        <v>1312</v>
      </c>
      <c r="C39" s="858">
        <v>2283.5349999999999</v>
      </c>
      <c r="D39" s="296" t="s">
        <v>1282</v>
      </c>
      <c r="E39" s="296"/>
      <c r="F39" s="296">
        <v>6</v>
      </c>
      <c r="G39" s="296">
        <v>3</v>
      </c>
      <c r="H39" s="296">
        <f t="shared" si="1"/>
        <v>3</v>
      </c>
      <c r="I39" s="296" t="s">
        <v>1390</v>
      </c>
      <c r="J39" s="296"/>
      <c r="K39" s="3">
        <f t="shared" si="0"/>
        <v>6</v>
      </c>
      <c r="L39" s="296"/>
      <c r="M39" s="863"/>
      <c r="N39" s="296"/>
      <c r="O39" s="863"/>
      <c r="P39" s="864"/>
      <c r="Q39" s="296"/>
      <c r="R39" s="864"/>
      <c r="S39" s="865"/>
    </row>
    <row r="40" spans="1:19" customFormat="1" ht="14.25" customHeight="1">
      <c r="A40" s="856">
        <f>IF(B40="","",SUBTOTAL(3,$B$12:B40))</f>
        <v>29</v>
      </c>
      <c r="B40" s="862" t="s">
        <v>1313</v>
      </c>
      <c r="C40" s="858">
        <v>259.048</v>
      </c>
      <c r="D40" s="296" t="s">
        <v>1281</v>
      </c>
      <c r="E40" s="296" t="s">
        <v>1285</v>
      </c>
      <c r="F40" s="296">
        <v>1</v>
      </c>
      <c r="G40" s="296">
        <v>1</v>
      </c>
      <c r="H40" s="296">
        <f t="shared" si="1"/>
        <v>0</v>
      </c>
      <c r="I40" s="296"/>
      <c r="J40" s="296"/>
      <c r="K40" s="3">
        <f t="shared" si="0"/>
        <v>1</v>
      </c>
      <c r="L40" s="296"/>
      <c r="M40" s="863"/>
      <c r="N40" s="296"/>
      <c r="O40" s="863"/>
      <c r="P40" s="864"/>
      <c r="Q40" s="296"/>
      <c r="R40" s="864"/>
      <c r="S40" s="865"/>
    </row>
    <row r="41" spans="1:19" customFormat="1" ht="14.25" customHeight="1">
      <c r="A41" s="856">
        <f>IF(B41="","",SUBTOTAL(3,$B$12:B41))</f>
        <v>30</v>
      </c>
      <c r="B41" s="862" t="s">
        <v>1314</v>
      </c>
      <c r="C41" s="858">
        <v>440.45499999999998</v>
      </c>
      <c r="D41" s="296" t="s">
        <v>1281</v>
      </c>
      <c r="E41" s="296"/>
      <c r="F41" s="296">
        <v>1</v>
      </c>
      <c r="G41" s="296">
        <v>1</v>
      </c>
      <c r="H41" s="296">
        <f t="shared" si="1"/>
        <v>0</v>
      </c>
      <c r="I41" s="296"/>
      <c r="J41" s="296"/>
      <c r="K41" s="3">
        <f t="shared" si="0"/>
        <v>1</v>
      </c>
      <c r="L41" s="296"/>
      <c r="M41" s="863"/>
      <c r="N41" s="296"/>
      <c r="O41" s="863"/>
      <c r="P41" s="864"/>
      <c r="Q41" s="296"/>
      <c r="R41" s="864"/>
      <c r="S41" s="865"/>
    </row>
    <row r="42" spans="1:19" customFormat="1" ht="14.25" customHeight="1">
      <c r="A42" s="856">
        <f>IF(B42="","",SUBTOTAL(3,$B$12:B42))</f>
        <v>31</v>
      </c>
      <c r="B42" s="862" t="s">
        <v>1315</v>
      </c>
      <c r="C42" s="858">
        <v>496.685</v>
      </c>
      <c r="D42" s="296" t="s">
        <v>1281</v>
      </c>
      <c r="E42" s="296"/>
      <c r="F42" s="296">
        <v>1</v>
      </c>
      <c r="G42" s="296">
        <v>1</v>
      </c>
      <c r="H42" s="296">
        <f t="shared" si="1"/>
        <v>0</v>
      </c>
      <c r="I42" s="296"/>
      <c r="J42" s="296"/>
      <c r="K42" s="3">
        <f t="shared" si="0"/>
        <v>1</v>
      </c>
      <c r="L42" s="296"/>
      <c r="M42" s="863"/>
      <c r="N42" s="296"/>
      <c r="O42" s="863"/>
      <c r="P42" s="864"/>
      <c r="Q42" s="296"/>
      <c r="R42" s="864"/>
      <c r="S42" s="865"/>
    </row>
    <row r="43" spans="1:19" customFormat="1" ht="14.25" customHeight="1">
      <c r="A43" s="856">
        <f>IF(B43="","",SUBTOTAL(3,$B$12:B43))</f>
        <v>32</v>
      </c>
      <c r="B43" s="862" t="s">
        <v>1316</v>
      </c>
      <c r="C43" s="858">
        <v>244.029</v>
      </c>
      <c r="D43" s="296" t="s">
        <v>1281</v>
      </c>
      <c r="E43" s="296" t="s">
        <v>1284</v>
      </c>
      <c r="F43" s="296">
        <v>1</v>
      </c>
      <c r="G43" s="296">
        <v>1</v>
      </c>
      <c r="H43" s="296">
        <f t="shared" si="1"/>
        <v>0</v>
      </c>
      <c r="I43" s="296"/>
      <c r="J43" s="296"/>
      <c r="K43" s="3">
        <f t="shared" si="0"/>
        <v>1</v>
      </c>
      <c r="L43" s="296"/>
      <c r="M43" s="863"/>
      <c r="N43" s="296"/>
      <c r="O43" s="863"/>
      <c r="P43" s="864"/>
      <c r="Q43" s="296"/>
      <c r="R43" s="864"/>
      <c r="S43" s="865"/>
    </row>
    <row r="44" spans="1:19" customFormat="1" ht="14.25" customHeight="1">
      <c r="A44" s="856">
        <f>IF(B44="","",SUBTOTAL(3,$B$12:B44))</f>
        <v>33</v>
      </c>
      <c r="B44" s="862" t="s">
        <v>1317</v>
      </c>
      <c r="C44" s="858">
        <v>237.428</v>
      </c>
      <c r="D44" s="296" t="s">
        <v>1281</v>
      </c>
      <c r="E44" s="296"/>
      <c r="F44" s="296">
        <v>1</v>
      </c>
      <c r="G44" s="296">
        <v>1</v>
      </c>
      <c r="H44" s="296">
        <f t="shared" si="1"/>
        <v>0</v>
      </c>
      <c r="I44" s="296"/>
      <c r="J44" s="296"/>
      <c r="K44" s="3">
        <f t="shared" si="0"/>
        <v>1</v>
      </c>
      <c r="L44" s="296"/>
      <c r="M44" s="863"/>
      <c r="N44" s="296"/>
      <c r="O44" s="863"/>
      <c r="P44" s="864"/>
      <c r="Q44" s="296"/>
      <c r="R44" s="864"/>
      <c r="S44" s="865"/>
    </row>
    <row r="45" spans="1:19" customFormat="1" ht="14.25" customHeight="1">
      <c r="A45" s="856">
        <f>IF(B45="","",SUBTOTAL(3,$B$12:B45))</f>
        <v>34</v>
      </c>
      <c r="B45" s="862" t="s">
        <v>1318</v>
      </c>
      <c r="C45" s="858">
        <v>203.47900000000001</v>
      </c>
      <c r="D45" s="296" t="s">
        <v>1281</v>
      </c>
      <c r="E45" s="296" t="s">
        <v>1286</v>
      </c>
      <c r="F45" s="296">
        <v>1</v>
      </c>
      <c r="G45" s="296">
        <v>1</v>
      </c>
      <c r="H45" s="296">
        <f t="shared" si="1"/>
        <v>0</v>
      </c>
      <c r="I45" s="296"/>
      <c r="J45" s="296"/>
      <c r="K45" s="3">
        <f t="shared" si="0"/>
        <v>1</v>
      </c>
      <c r="L45" s="296"/>
      <c r="M45" s="863"/>
      <c r="N45" s="296"/>
      <c r="O45" s="863"/>
      <c r="P45" s="864"/>
      <c r="Q45" s="296"/>
      <c r="R45" s="864"/>
      <c r="S45" s="865"/>
    </row>
    <row r="46" spans="1:19" customFormat="1" ht="14.25" customHeight="1">
      <c r="A46" s="856">
        <f>IF(B46="","",SUBTOTAL(3,$B$12:B46))</f>
        <v>35</v>
      </c>
      <c r="B46" s="862" t="s">
        <v>1319</v>
      </c>
      <c r="C46" s="858">
        <v>2548.2750000000001</v>
      </c>
      <c r="D46" s="296" t="s">
        <v>1282</v>
      </c>
      <c r="E46" s="296"/>
      <c r="F46" s="296">
        <v>7</v>
      </c>
      <c r="G46" s="296">
        <v>7</v>
      </c>
      <c r="H46" s="296">
        <f t="shared" si="1"/>
        <v>0</v>
      </c>
      <c r="I46" s="296"/>
      <c r="J46" s="296"/>
      <c r="K46" s="3">
        <f t="shared" si="0"/>
        <v>7</v>
      </c>
      <c r="L46" s="296"/>
      <c r="M46" s="863"/>
      <c r="N46" s="296"/>
      <c r="O46" s="863"/>
      <c r="P46" s="864"/>
      <c r="Q46" s="296"/>
      <c r="R46" s="864"/>
      <c r="S46" s="865"/>
    </row>
    <row r="47" spans="1:19" customFormat="1" ht="14.25" customHeight="1">
      <c r="A47" s="856">
        <f>IF(B47="","",SUBTOTAL(3,$B$12:B47))</f>
        <v>36</v>
      </c>
      <c r="B47" s="862" t="s">
        <v>1320</v>
      </c>
      <c r="C47" s="858">
        <v>211.209</v>
      </c>
      <c r="D47" s="296" t="s">
        <v>1281</v>
      </c>
      <c r="E47" s="296" t="s">
        <v>1287</v>
      </c>
      <c r="F47" s="296">
        <v>1</v>
      </c>
      <c r="G47" s="296">
        <v>1</v>
      </c>
      <c r="H47" s="296">
        <f t="shared" si="1"/>
        <v>0</v>
      </c>
      <c r="I47" s="296"/>
      <c r="J47" s="296"/>
      <c r="K47" s="3">
        <f t="shared" si="0"/>
        <v>1</v>
      </c>
      <c r="L47" s="296"/>
      <c r="M47" s="863"/>
      <c r="N47" s="296"/>
      <c r="O47" s="863"/>
      <c r="P47" s="864"/>
      <c r="Q47" s="296"/>
      <c r="R47" s="864"/>
      <c r="S47" s="865"/>
    </row>
    <row r="48" spans="1:19" customFormat="1" ht="14.25" customHeight="1">
      <c r="A48" s="856">
        <f>IF(B48="","",SUBTOTAL(3,$B$12:B48))</f>
        <v>37</v>
      </c>
      <c r="B48" s="862" t="s">
        <v>1321</v>
      </c>
      <c r="C48" s="858">
        <v>2379.2039999999997</v>
      </c>
      <c r="D48" s="296" t="s">
        <v>1282</v>
      </c>
      <c r="E48" s="296"/>
      <c r="F48" s="296">
        <v>6</v>
      </c>
      <c r="G48" s="296">
        <v>6</v>
      </c>
      <c r="H48" s="296">
        <f t="shared" si="1"/>
        <v>0</v>
      </c>
      <c r="I48" s="296"/>
      <c r="J48" s="296">
        <v>3</v>
      </c>
      <c r="K48" s="3">
        <f t="shared" si="0"/>
        <v>3</v>
      </c>
      <c r="L48" s="296"/>
      <c r="M48" s="863"/>
      <c r="N48" s="296"/>
      <c r="O48" s="863"/>
      <c r="P48" s="864"/>
      <c r="Q48" s="296"/>
      <c r="R48" s="864"/>
      <c r="S48" s="865"/>
    </row>
    <row r="49" spans="1:19" customFormat="1" ht="14.25" customHeight="1">
      <c r="A49" s="856">
        <f>IF(B49="","",SUBTOTAL(3,$B$12:B49))</f>
        <v>38</v>
      </c>
      <c r="B49" s="862" t="s">
        <v>1322</v>
      </c>
      <c r="C49" s="858">
        <v>2669.0070000000001</v>
      </c>
      <c r="D49" s="296" t="s">
        <v>1282</v>
      </c>
      <c r="E49" s="296"/>
      <c r="F49" s="296">
        <v>7</v>
      </c>
      <c r="G49" s="296">
        <v>7</v>
      </c>
      <c r="H49" s="296">
        <f t="shared" si="1"/>
        <v>0</v>
      </c>
      <c r="I49" s="296"/>
      <c r="J49" s="296">
        <v>3</v>
      </c>
      <c r="K49" s="3">
        <f t="shared" si="0"/>
        <v>4</v>
      </c>
      <c r="L49" s="296"/>
      <c r="M49" s="863"/>
      <c r="N49" s="296"/>
      <c r="O49" s="863"/>
      <c r="P49" s="864"/>
      <c r="Q49" s="296"/>
      <c r="R49" s="864"/>
      <c r="S49" s="865"/>
    </row>
    <row r="50" spans="1:19" customFormat="1" ht="14.25" customHeight="1">
      <c r="A50" s="856">
        <f>IF(B50="","",SUBTOTAL(3,$B$12:B50))</f>
        <v>39</v>
      </c>
      <c r="B50" s="862" t="s">
        <v>1323</v>
      </c>
      <c r="C50" s="858">
        <v>4124.232</v>
      </c>
      <c r="D50" s="296" t="s">
        <v>1282</v>
      </c>
      <c r="E50" s="296"/>
      <c r="F50" s="296">
        <v>11</v>
      </c>
      <c r="G50" s="296">
        <v>11</v>
      </c>
      <c r="H50" s="296">
        <f t="shared" si="1"/>
        <v>0</v>
      </c>
      <c r="I50" s="296"/>
      <c r="J50" s="296">
        <v>1</v>
      </c>
      <c r="K50" s="3">
        <f t="shared" si="0"/>
        <v>10</v>
      </c>
      <c r="L50" s="296"/>
      <c r="M50" s="863"/>
      <c r="N50" s="296"/>
      <c r="O50" s="863"/>
      <c r="P50" s="864"/>
      <c r="Q50" s="296"/>
      <c r="R50" s="864"/>
      <c r="S50" s="865"/>
    </row>
    <row r="51" spans="1:19" customFormat="1" ht="14.25" customHeight="1">
      <c r="A51" s="856">
        <f>IF(B51="","",SUBTOTAL(3,$B$12:B51))</f>
        <v>40</v>
      </c>
      <c r="B51" s="862" t="s">
        <v>1324</v>
      </c>
      <c r="C51" s="858">
        <v>4333.3689999999997</v>
      </c>
      <c r="D51" s="296" t="s">
        <v>1282</v>
      </c>
      <c r="E51" s="296"/>
      <c r="F51" s="296">
        <v>11</v>
      </c>
      <c r="G51" s="296">
        <v>11</v>
      </c>
      <c r="H51" s="296">
        <f t="shared" si="1"/>
        <v>0</v>
      </c>
      <c r="I51" s="296"/>
      <c r="J51" s="296"/>
      <c r="K51" s="3">
        <f t="shared" si="0"/>
        <v>11</v>
      </c>
      <c r="L51" s="296"/>
      <c r="M51" s="863"/>
      <c r="N51" s="296"/>
      <c r="O51" s="863"/>
      <c r="P51" s="864"/>
      <c r="Q51" s="296"/>
      <c r="R51" s="864"/>
      <c r="S51" s="865"/>
    </row>
    <row r="52" spans="1:19" customFormat="1" ht="14.25" customHeight="1">
      <c r="A52" s="856">
        <f>IF(B52="","",SUBTOTAL(3,$B$12:B52))</f>
        <v>41</v>
      </c>
      <c r="B52" s="862" t="s">
        <v>1325</v>
      </c>
      <c r="C52" s="858">
        <v>3283.51</v>
      </c>
      <c r="D52" s="296" t="s">
        <v>1282</v>
      </c>
      <c r="E52" s="296"/>
      <c r="F52" s="296">
        <v>8</v>
      </c>
      <c r="G52" s="296">
        <v>6</v>
      </c>
      <c r="H52" s="296">
        <f t="shared" si="1"/>
        <v>2</v>
      </c>
      <c r="I52" s="296"/>
      <c r="J52" s="296"/>
      <c r="K52" s="3">
        <f t="shared" si="0"/>
        <v>8</v>
      </c>
      <c r="L52" s="296"/>
      <c r="M52" s="863"/>
      <c r="N52" s="296"/>
      <c r="O52" s="863"/>
      <c r="P52" s="864"/>
      <c r="Q52" s="296"/>
      <c r="R52" s="864"/>
      <c r="S52" s="865"/>
    </row>
    <row r="53" spans="1:19" customFormat="1" ht="14.25" customHeight="1">
      <c r="A53" s="856">
        <f>IF(B53="","",SUBTOTAL(3,$B$12:B53))</f>
        <v>42</v>
      </c>
      <c r="B53" s="862" t="s">
        <v>1326</v>
      </c>
      <c r="C53" s="858">
        <v>840.43900000000008</v>
      </c>
      <c r="D53" s="296" t="s">
        <v>1282</v>
      </c>
      <c r="E53" s="296"/>
      <c r="F53" s="296">
        <v>2</v>
      </c>
      <c r="G53" s="296">
        <v>1</v>
      </c>
      <c r="H53" s="296">
        <f t="shared" si="1"/>
        <v>1</v>
      </c>
      <c r="I53" s="296" t="s">
        <v>67</v>
      </c>
      <c r="J53" s="296">
        <v>0</v>
      </c>
      <c r="K53" s="3">
        <f t="shared" si="0"/>
        <v>2</v>
      </c>
      <c r="L53" s="296" t="s">
        <v>1391</v>
      </c>
      <c r="M53" s="863"/>
      <c r="N53" s="296"/>
      <c r="O53" s="863"/>
      <c r="P53" s="864"/>
      <c r="Q53" s="296"/>
      <c r="R53" s="864"/>
      <c r="S53" s="865"/>
    </row>
    <row r="54" spans="1:19" customFormat="1" ht="14.25" customHeight="1">
      <c r="A54" s="856">
        <f>IF(B54="","",SUBTOTAL(3,$B$12:B54))</f>
        <v>43</v>
      </c>
      <c r="B54" s="862" t="s">
        <v>1327</v>
      </c>
      <c r="C54" s="858">
        <v>4049.7639999999997</v>
      </c>
      <c r="D54" s="296" t="s">
        <v>1282</v>
      </c>
      <c r="E54" s="296"/>
      <c r="F54" s="296">
        <v>10</v>
      </c>
      <c r="G54" s="296">
        <v>9</v>
      </c>
      <c r="H54" s="296">
        <f t="shared" si="1"/>
        <v>1</v>
      </c>
      <c r="I54" s="296" t="s">
        <v>68</v>
      </c>
      <c r="J54" s="296">
        <v>4</v>
      </c>
      <c r="K54" s="3">
        <f t="shared" si="0"/>
        <v>6</v>
      </c>
      <c r="L54" s="296" t="s">
        <v>1392</v>
      </c>
      <c r="M54" s="863"/>
      <c r="N54" s="296"/>
      <c r="O54" s="863"/>
      <c r="P54" s="864"/>
      <c r="Q54" s="296"/>
      <c r="R54" s="864"/>
      <c r="S54" s="865"/>
    </row>
    <row r="55" spans="1:19" customFormat="1" ht="14.25" customHeight="1">
      <c r="A55" s="856">
        <f>IF(B55="","",SUBTOTAL(3,$B$12:B55))</f>
        <v>44</v>
      </c>
      <c r="B55" s="951" t="s">
        <v>1328</v>
      </c>
      <c r="C55" s="858">
        <v>4898.5879999999997</v>
      </c>
      <c r="D55" s="296" t="s">
        <v>1282</v>
      </c>
      <c r="E55" s="296"/>
      <c r="F55" s="296">
        <v>13</v>
      </c>
      <c r="G55" s="296">
        <v>13</v>
      </c>
      <c r="H55" s="296">
        <f t="shared" si="1"/>
        <v>0</v>
      </c>
      <c r="I55" s="296"/>
      <c r="J55" s="296">
        <v>13</v>
      </c>
      <c r="K55" s="3">
        <f t="shared" si="0"/>
        <v>0</v>
      </c>
      <c r="L55" s="296"/>
      <c r="M55" s="863"/>
      <c r="N55" s="296"/>
      <c r="O55" s="863"/>
      <c r="P55" s="864"/>
      <c r="Q55" s="296"/>
      <c r="R55" s="864"/>
      <c r="S55" s="865"/>
    </row>
    <row r="56" spans="1:19" customFormat="1" ht="14.25" customHeight="1">
      <c r="A56" s="856">
        <f>IF(B56="","",SUBTOTAL(3,$B$12:B56))</f>
        <v>45</v>
      </c>
      <c r="B56" s="862" t="s">
        <v>1329</v>
      </c>
      <c r="C56" s="858">
        <v>4916.2929999999997</v>
      </c>
      <c r="D56" s="296" t="s">
        <v>1282</v>
      </c>
      <c r="E56" s="296"/>
      <c r="F56" s="296">
        <v>12</v>
      </c>
      <c r="G56" s="296">
        <v>9</v>
      </c>
      <c r="H56" s="296">
        <f t="shared" si="1"/>
        <v>3</v>
      </c>
      <c r="I56" s="296" t="s">
        <v>1393</v>
      </c>
      <c r="J56" s="296">
        <v>8</v>
      </c>
      <c r="K56" s="3">
        <f t="shared" si="0"/>
        <v>4</v>
      </c>
      <c r="L56" s="296" t="s">
        <v>1394</v>
      </c>
      <c r="M56" s="863"/>
      <c r="N56" s="296"/>
      <c r="O56" s="863"/>
      <c r="P56" s="864"/>
      <c r="Q56" s="296"/>
      <c r="R56" s="864"/>
      <c r="S56" s="865"/>
    </row>
    <row r="57" spans="1:19" customFormat="1" ht="14.25" customHeight="1">
      <c r="A57" s="856">
        <f>IF(B57="","",SUBTOTAL(3,$B$12:B57))</f>
        <v>46</v>
      </c>
      <c r="B57" s="862" t="s">
        <v>1330</v>
      </c>
      <c r="C57" s="858">
        <v>453.99900000000002</v>
      </c>
      <c r="D57" s="296" t="s">
        <v>1281</v>
      </c>
      <c r="E57" s="296"/>
      <c r="F57" s="296">
        <v>1</v>
      </c>
      <c r="G57" s="296">
        <v>1</v>
      </c>
      <c r="H57" s="296">
        <f t="shared" si="1"/>
        <v>0</v>
      </c>
      <c r="I57" s="296"/>
      <c r="J57" s="296">
        <v>0</v>
      </c>
      <c r="K57" s="3">
        <f t="shared" si="0"/>
        <v>1</v>
      </c>
      <c r="L57" s="296" t="s">
        <v>1071</v>
      </c>
      <c r="M57" s="863"/>
      <c r="N57" s="296"/>
      <c r="O57" s="863"/>
      <c r="P57" s="864"/>
      <c r="Q57" s="296"/>
      <c r="R57" s="864"/>
      <c r="S57" s="865"/>
    </row>
    <row r="58" spans="1:19" customFormat="1" ht="14.25" customHeight="1">
      <c r="A58" s="856">
        <f>IF(B58="","",SUBTOTAL(3,$B$12:B58))</f>
        <v>47</v>
      </c>
      <c r="B58" s="862" t="s">
        <v>1331</v>
      </c>
      <c r="C58" s="858">
        <v>1291.5230000000001</v>
      </c>
      <c r="D58" s="296" t="s">
        <v>1282</v>
      </c>
      <c r="E58" s="296"/>
      <c r="F58" s="296">
        <v>3</v>
      </c>
      <c r="G58" s="296">
        <v>3</v>
      </c>
      <c r="H58" s="296">
        <f t="shared" si="1"/>
        <v>0</v>
      </c>
      <c r="I58" s="296"/>
      <c r="J58" s="296">
        <v>2</v>
      </c>
      <c r="K58" s="3">
        <f t="shared" si="0"/>
        <v>1</v>
      </c>
      <c r="L58" s="296" t="s">
        <v>168</v>
      </c>
      <c r="M58" s="863"/>
      <c r="N58" s="296"/>
      <c r="O58" s="863"/>
      <c r="P58" s="864"/>
      <c r="Q58" s="296"/>
      <c r="R58" s="864"/>
      <c r="S58" s="865"/>
    </row>
    <row r="59" spans="1:19" customFormat="1" ht="13.9" customHeight="1">
      <c r="A59" s="856">
        <f>IF(B59="","",SUBTOTAL(3,$B$12:B59))</f>
        <v>48</v>
      </c>
      <c r="B59" s="862" t="s">
        <v>1332</v>
      </c>
      <c r="C59" s="858">
        <v>2496.3940000000002</v>
      </c>
      <c r="D59" s="296" t="s">
        <v>1282</v>
      </c>
      <c r="E59" s="296"/>
      <c r="F59" s="296">
        <v>6</v>
      </c>
      <c r="G59" s="296">
        <v>6</v>
      </c>
      <c r="H59" s="296">
        <f t="shared" si="1"/>
        <v>0</v>
      </c>
      <c r="I59" s="296"/>
      <c r="J59" s="296">
        <v>3</v>
      </c>
      <c r="K59" s="3">
        <f t="shared" si="0"/>
        <v>3</v>
      </c>
      <c r="L59" s="296" t="s">
        <v>1395</v>
      </c>
      <c r="M59" s="863"/>
      <c r="N59" s="296"/>
      <c r="O59" s="863"/>
      <c r="P59" s="864"/>
      <c r="Q59" s="296"/>
      <c r="R59" s="864"/>
      <c r="S59" s="865"/>
    </row>
    <row r="60" spans="1:19" customFormat="1" ht="14.25" customHeight="1">
      <c r="A60" s="856">
        <f>IF(B60="","",SUBTOTAL(3,$B$12:B60))</f>
        <v>49</v>
      </c>
      <c r="B60" s="952" t="s">
        <v>1333</v>
      </c>
      <c r="C60" s="945">
        <v>2583.5889999999999</v>
      </c>
      <c r="D60" s="296" t="s">
        <v>1282</v>
      </c>
      <c r="E60" s="296"/>
      <c r="F60" s="296">
        <v>7</v>
      </c>
      <c r="G60" s="296">
        <v>7</v>
      </c>
      <c r="H60" s="296">
        <f t="shared" si="1"/>
        <v>0</v>
      </c>
      <c r="I60" s="296"/>
      <c r="J60" s="296">
        <v>6</v>
      </c>
      <c r="K60" s="3">
        <f t="shared" si="0"/>
        <v>1</v>
      </c>
      <c r="L60" s="296" t="s">
        <v>72</v>
      </c>
      <c r="M60" s="863"/>
      <c r="N60" s="296"/>
      <c r="O60" s="863"/>
      <c r="P60" s="864"/>
      <c r="Q60" s="296"/>
      <c r="R60" s="864"/>
      <c r="S60" s="865"/>
    </row>
    <row r="61" spans="1:19" customFormat="1" ht="14.25" customHeight="1">
      <c r="A61" s="856">
        <f>IF(B61="","",SUBTOTAL(3,$B$12:B61))</f>
        <v>50</v>
      </c>
      <c r="B61" s="952" t="s">
        <v>1334</v>
      </c>
      <c r="C61" s="945">
        <v>4163.6769999999997</v>
      </c>
      <c r="D61" s="296" t="s">
        <v>1282</v>
      </c>
      <c r="E61" s="296"/>
      <c r="F61" s="296">
        <v>11</v>
      </c>
      <c r="G61" s="296">
        <v>11</v>
      </c>
      <c r="H61" s="296">
        <f t="shared" si="1"/>
        <v>0</v>
      </c>
      <c r="I61" s="296"/>
      <c r="J61" s="296">
        <v>11</v>
      </c>
      <c r="K61" s="3">
        <f t="shared" si="0"/>
        <v>0</v>
      </c>
      <c r="L61" s="296"/>
      <c r="M61" s="863"/>
      <c r="N61" s="296"/>
      <c r="O61" s="863"/>
      <c r="P61" s="864"/>
      <c r="Q61" s="296"/>
      <c r="R61" s="864"/>
      <c r="S61" s="865"/>
    </row>
    <row r="62" spans="1:19" customFormat="1" ht="14.25" customHeight="1">
      <c r="A62" s="856">
        <f>IF(B62="","",SUBTOTAL(3,$B$12:B62))</f>
        <v>51</v>
      </c>
      <c r="B62" s="862" t="s">
        <v>1335</v>
      </c>
      <c r="C62" s="858">
        <v>4716.8109999999997</v>
      </c>
      <c r="D62" s="296" t="s">
        <v>1282</v>
      </c>
      <c r="E62" s="296"/>
      <c r="F62" s="296">
        <v>12</v>
      </c>
      <c r="G62" s="296">
        <v>12</v>
      </c>
      <c r="H62" s="296">
        <f t="shared" si="1"/>
        <v>0</v>
      </c>
      <c r="I62" s="296"/>
      <c r="J62" s="296">
        <v>8</v>
      </c>
      <c r="K62" s="3">
        <f t="shared" si="0"/>
        <v>4</v>
      </c>
      <c r="L62" s="296" t="s">
        <v>1410</v>
      </c>
      <c r="M62" s="863"/>
      <c r="N62" s="296"/>
      <c r="O62" s="863"/>
      <c r="P62" s="864"/>
      <c r="Q62" s="296"/>
      <c r="R62" s="864"/>
      <c r="S62" s="865"/>
    </row>
    <row r="63" spans="1:19" customFormat="1" ht="14.25" customHeight="1">
      <c r="A63" s="856">
        <f>IF(B63="","",SUBTOTAL(3,$B$12:B63))</f>
        <v>52</v>
      </c>
      <c r="B63" s="862" t="s">
        <v>1336</v>
      </c>
      <c r="C63" s="858">
        <v>4665.9179999999997</v>
      </c>
      <c r="D63" s="296" t="s">
        <v>1282</v>
      </c>
      <c r="E63" s="296"/>
      <c r="F63" s="296">
        <v>12</v>
      </c>
      <c r="G63" s="296">
        <v>12</v>
      </c>
      <c r="H63" s="296">
        <f t="shared" si="1"/>
        <v>0</v>
      </c>
      <c r="I63" s="296"/>
      <c r="J63" s="296">
        <v>1</v>
      </c>
      <c r="K63" s="3">
        <f t="shared" si="0"/>
        <v>11</v>
      </c>
      <c r="L63" s="296"/>
      <c r="M63" s="863"/>
      <c r="N63" s="296"/>
      <c r="O63" s="863"/>
      <c r="P63" s="864"/>
      <c r="Q63" s="296"/>
      <c r="R63" s="864"/>
      <c r="S63" s="865"/>
    </row>
    <row r="64" spans="1:19" customFormat="1" ht="14.25" customHeight="1">
      <c r="A64" s="856">
        <f>IF(B64="","",SUBTOTAL(3,$B$12:B64))</f>
        <v>53</v>
      </c>
      <c r="B64" s="862" t="s">
        <v>1337</v>
      </c>
      <c r="C64" s="858">
        <v>410.60700000000003</v>
      </c>
      <c r="D64" s="296" t="s">
        <v>1281</v>
      </c>
      <c r="E64" s="296"/>
      <c r="F64" s="296">
        <v>1</v>
      </c>
      <c r="G64" s="296">
        <v>1</v>
      </c>
      <c r="H64" s="296">
        <f t="shared" si="1"/>
        <v>0</v>
      </c>
      <c r="I64" s="296"/>
      <c r="J64" s="296">
        <v>0</v>
      </c>
      <c r="K64" s="3">
        <f t="shared" si="0"/>
        <v>1</v>
      </c>
      <c r="L64" s="296"/>
      <c r="M64" s="863"/>
      <c r="N64" s="296"/>
      <c r="O64" s="863"/>
      <c r="P64" s="864"/>
      <c r="Q64" s="296"/>
      <c r="R64" s="864"/>
      <c r="S64" s="865"/>
    </row>
    <row r="65" spans="1:19" customFormat="1" ht="14.25" customHeight="1">
      <c r="A65" s="856">
        <f>IF(B65="","",SUBTOTAL(3,$B$12:B65))</f>
        <v>54</v>
      </c>
      <c r="B65" s="862" t="s">
        <v>1338</v>
      </c>
      <c r="C65" s="858">
        <v>823.78199999999993</v>
      </c>
      <c r="D65" s="296" t="s">
        <v>1282</v>
      </c>
      <c r="E65" s="296"/>
      <c r="F65" s="296">
        <v>2</v>
      </c>
      <c r="G65" s="296">
        <v>2</v>
      </c>
      <c r="H65" s="296">
        <f t="shared" si="1"/>
        <v>0</v>
      </c>
      <c r="I65" s="296"/>
      <c r="J65" s="296">
        <v>0</v>
      </c>
      <c r="K65" s="3">
        <f t="shared" si="0"/>
        <v>2</v>
      </c>
      <c r="L65" s="296"/>
      <c r="M65" s="863"/>
      <c r="N65" s="296"/>
      <c r="O65" s="863"/>
      <c r="P65" s="864"/>
      <c r="Q65" s="296"/>
      <c r="R65" s="864"/>
      <c r="S65" s="865"/>
    </row>
    <row r="66" spans="1:19" customFormat="1" ht="14.25" customHeight="1">
      <c r="A66" s="856">
        <f>IF(B66="","",SUBTOTAL(3,$B$12:B66))</f>
        <v>55</v>
      </c>
      <c r="B66" s="862" t="s">
        <v>1339</v>
      </c>
      <c r="C66" s="858">
        <v>1258.998</v>
      </c>
      <c r="D66" s="296" t="s">
        <v>1282</v>
      </c>
      <c r="E66" s="296"/>
      <c r="F66" s="296">
        <v>3</v>
      </c>
      <c r="G66" s="296">
        <v>3</v>
      </c>
      <c r="H66" s="296">
        <f t="shared" si="1"/>
        <v>0</v>
      </c>
      <c r="I66" s="296"/>
      <c r="J66" s="296">
        <v>0</v>
      </c>
      <c r="K66" s="3">
        <f t="shared" si="0"/>
        <v>3</v>
      </c>
      <c r="L66" s="296"/>
      <c r="M66" s="863"/>
      <c r="N66" s="296"/>
      <c r="O66" s="863"/>
      <c r="P66" s="864"/>
      <c r="Q66" s="296"/>
      <c r="R66" s="864"/>
      <c r="S66" s="865"/>
    </row>
    <row r="67" spans="1:19" customFormat="1" ht="14.25" customHeight="1">
      <c r="A67" s="856">
        <f>IF(B67="","",SUBTOTAL(3,$B$12:B67))</f>
        <v>56</v>
      </c>
      <c r="B67" s="862" t="s">
        <v>1340</v>
      </c>
      <c r="C67" s="858">
        <v>424.89100000000002</v>
      </c>
      <c r="D67" s="296" t="s">
        <v>1281</v>
      </c>
      <c r="E67" s="296"/>
      <c r="F67" s="296">
        <v>1</v>
      </c>
      <c r="G67" s="296">
        <v>1</v>
      </c>
      <c r="H67" s="296">
        <f t="shared" si="1"/>
        <v>0</v>
      </c>
      <c r="I67" s="296"/>
      <c r="J67" s="296">
        <v>0</v>
      </c>
      <c r="K67" s="3">
        <f t="shared" si="0"/>
        <v>1</v>
      </c>
      <c r="L67" s="296" t="s">
        <v>78</v>
      </c>
      <c r="M67" s="863"/>
      <c r="N67" s="296"/>
      <c r="O67" s="863"/>
      <c r="P67" s="864"/>
      <c r="Q67" s="296"/>
      <c r="R67" s="864"/>
      <c r="S67" s="865"/>
    </row>
    <row r="68" spans="1:19" customFormat="1" ht="14.25" customHeight="1">
      <c r="A68" s="856">
        <f>IF(B68="","",SUBTOTAL(3,$B$12:B68))</f>
        <v>57</v>
      </c>
      <c r="B68" s="862" t="s">
        <v>1341</v>
      </c>
      <c r="C68" s="858">
        <v>3436.4119999999998</v>
      </c>
      <c r="D68" s="296" t="s">
        <v>1282</v>
      </c>
      <c r="E68" s="296"/>
      <c r="F68" s="296">
        <v>9</v>
      </c>
      <c r="G68" s="296">
        <v>9</v>
      </c>
      <c r="H68" s="296">
        <f t="shared" si="1"/>
        <v>0</v>
      </c>
      <c r="I68" s="296"/>
      <c r="J68" s="296">
        <v>0</v>
      </c>
      <c r="K68" s="3">
        <f t="shared" si="0"/>
        <v>9</v>
      </c>
      <c r="L68" s="296" t="s">
        <v>1396</v>
      </c>
      <c r="M68" s="863"/>
      <c r="N68" s="296"/>
      <c r="O68" s="863"/>
      <c r="P68" s="864"/>
      <c r="Q68" s="296"/>
      <c r="R68" s="864"/>
      <c r="S68" s="865"/>
    </row>
    <row r="69" spans="1:19" customFormat="1" ht="14.25" customHeight="1">
      <c r="A69" s="856">
        <f>IF(B69="","",SUBTOTAL(3,$B$12:B69))</f>
        <v>58</v>
      </c>
      <c r="B69" s="862" t="s">
        <v>1397</v>
      </c>
      <c r="C69" s="858">
        <v>2383.1549999999997</v>
      </c>
      <c r="D69" s="296" t="s">
        <v>1282</v>
      </c>
      <c r="E69" s="296"/>
      <c r="F69" s="296">
        <v>6</v>
      </c>
      <c r="G69" s="296">
        <v>5</v>
      </c>
      <c r="H69" s="296">
        <f t="shared" si="1"/>
        <v>1</v>
      </c>
      <c r="I69" s="296" t="s">
        <v>1246</v>
      </c>
      <c r="J69" s="296">
        <v>0</v>
      </c>
      <c r="K69" s="3">
        <f t="shared" si="0"/>
        <v>6</v>
      </c>
      <c r="L69" s="296" t="s">
        <v>1398</v>
      </c>
      <c r="M69" s="863"/>
      <c r="N69" s="296"/>
      <c r="O69" s="863"/>
      <c r="P69" s="864"/>
      <c r="Q69" s="296"/>
      <c r="R69" s="864"/>
      <c r="S69" s="865"/>
    </row>
    <row r="70" spans="1:19" customFormat="1" ht="14.25" customHeight="1">
      <c r="A70" s="856">
        <f>IF(B70="","",SUBTOTAL(3,$B$12:B70))</f>
        <v>59</v>
      </c>
      <c r="B70" s="862" t="s">
        <v>1399</v>
      </c>
      <c r="C70" s="858">
        <v>208.53</v>
      </c>
      <c r="D70" s="296" t="s">
        <v>1281</v>
      </c>
      <c r="E70" s="296"/>
      <c r="F70" s="296">
        <v>1</v>
      </c>
      <c r="G70" s="296">
        <v>0</v>
      </c>
      <c r="H70" s="296">
        <f t="shared" si="1"/>
        <v>1</v>
      </c>
      <c r="I70" s="296" t="s">
        <v>1247</v>
      </c>
      <c r="J70" s="296">
        <v>0</v>
      </c>
      <c r="K70" s="3">
        <f>F70-J70</f>
        <v>1</v>
      </c>
      <c r="L70" s="296" t="s">
        <v>1247</v>
      </c>
      <c r="M70" s="863"/>
      <c r="N70" s="296"/>
      <c r="O70" s="863"/>
      <c r="P70" s="864"/>
      <c r="Q70" s="296"/>
      <c r="R70" s="864"/>
      <c r="S70" s="865"/>
    </row>
    <row r="71" spans="1:19" ht="15" thickBot="1">
      <c r="C71" s="837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33" t="s">
        <v>1278</v>
      </c>
      <c r="B72" s="835" t="s">
        <v>1279</v>
      </c>
      <c r="C72" s="834" t="s">
        <v>1288</v>
      </c>
      <c r="D72" s="849"/>
      <c r="E72" s="846"/>
      <c r="F72" s="846"/>
      <c r="H72" s="2"/>
    </row>
    <row r="73" spans="1:19" ht="14.5">
      <c r="A73" s="836">
        <v>1</v>
      </c>
      <c r="B73" s="838" t="s">
        <v>1282</v>
      </c>
      <c r="C73" s="839">
        <f>SUMIF(D12:D70,B73,C12:C70)/1000</f>
        <v>110.170096</v>
      </c>
      <c r="D73" s="837"/>
      <c r="E73" s="847"/>
      <c r="F73" s="847"/>
      <c r="H73" s="2"/>
    </row>
    <row r="74" spans="1:19" ht="15" thickBot="1">
      <c r="A74" s="840">
        <v>2</v>
      </c>
      <c r="B74" s="841" t="s">
        <v>1281</v>
      </c>
      <c r="C74" s="842">
        <f>SUMIF(D12:D70,B74,C12:C70)/1000</f>
        <v>7.6807349999999994</v>
      </c>
      <c r="D74" s="837"/>
      <c r="E74" s="847"/>
      <c r="F74" s="847"/>
      <c r="H74" s="2"/>
    </row>
    <row r="75" spans="1:19" ht="15" thickBot="1">
      <c r="A75" s="1571" t="s">
        <v>1289</v>
      </c>
      <c r="B75" s="1572"/>
      <c r="C75" s="843">
        <f>C74+C73</f>
        <v>117.850831</v>
      </c>
      <c r="D75" s="850"/>
      <c r="E75" s="848"/>
      <c r="F75" s="848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2" customWidth="1"/>
    <col min="5" max="5" width="22.453125" style="132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3" t="s">
        <v>1128</v>
      </c>
      <c r="B2" s="404" t="s">
        <v>954</v>
      </c>
      <c r="C2" s="457" t="s">
        <v>958</v>
      </c>
      <c r="D2" s="457" t="s">
        <v>1129</v>
      </c>
      <c r="E2" s="457" t="s">
        <v>1135</v>
      </c>
      <c r="N2" s="140"/>
    </row>
    <row r="3" spans="1:20" ht="18.5">
      <c r="A3" s="403"/>
      <c r="B3" s="404"/>
      <c r="C3" s="457" t="s">
        <v>83</v>
      </c>
      <c r="D3" s="457" t="s">
        <v>84</v>
      </c>
      <c r="E3" s="71" t="s">
        <v>1136</v>
      </c>
      <c r="N3" s="1787" t="s">
        <v>1137</v>
      </c>
      <c r="O3" s="1787"/>
      <c r="P3" s="1787"/>
      <c r="Q3" s="1787"/>
      <c r="R3" s="1787"/>
      <c r="S3" s="1787"/>
      <c r="T3" s="1787"/>
    </row>
    <row r="4" spans="1:20" ht="18.5">
      <c r="A4" s="545" t="s">
        <v>892</v>
      </c>
      <c r="B4" s="546" t="s">
        <v>226</v>
      </c>
      <c r="C4" s="547"/>
      <c r="D4" s="71">
        <f>P30</f>
        <v>34895460.788644001</v>
      </c>
      <c r="E4" s="71"/>
      <c r="N4" s="601" t="s">
        <v>1119</v>
      </c>
      <c r="O4" s="602"/>
      <c r="P4" s="602"/>
      <c r="R4" s="601" t="s">
        <v>1132</v>
      </c>
      <c r="S4" s="602"/>
      <c r="T4" s="602"/>
    </row>
    <row r="5" spans="1:20" ht="18.5">
      <c r="A5" s="403"/>
      <c r="B5" s="404"/>
      <c r="C5" s="457">
        <v>340</v>
      </c>
      <c r="D5" s="71"/>
      <c r="E5" s="71">
        <f>C5*67</f>
        <v>22780</v>
      </c>
      <c r="N5" s="139" t="s">
        <v>377</v>
      </c>
      <c r="O5" s="92"/>
      <c r="P5" s="92"/>
      <c r="R5" s="139" t="s">
        <v>377</v>
      </c>
      <c r="S5" s="92"/>
      <c r="T5" s="92"/>
    </row>
    <row r="6" spans="1:20" ht="18.5">
      <c r="A6" s="401" t="s">
        <v>893</v>
      </c>
      <c r="B6" s="409" t="s">
        <v>79</v>
      </c>
      <c r="C6" s="457"/>
      <c r="D6" s="71">
        <f>P16</f>
        <v>1163.4222740119999</v>
      </c>
      <c r="E6" s="71"/>
      <c r="N6" s="92"/>
      <c r="O6" s="92" t="s">
        <v>1120</v>
      </c>
      <c r="P6" s="92">
        <v>30.466239999999999</v>
      </c>
      <c r="R6" s="92"/>
      <c r="S6" s="92" t="s">
        <v>1120</v>
      </c>
      <c r="T6" s="92" t="s">
        <v>1130</v>
      </c>
    </row>
    <row r="7" spans="1:20" ht="18.5">
      <c r="A7" s="403"/>
      <c r="B7" s="404"/>
      <c r="C7" s="457">
        <v>419.99900000000002</v>
      </c>
      <c r="D7" s="71"/>
      <c r="E7" s="71">
        <f t="shared" ref="E7:E17" si="0">C7*67</f>
        <v>28139.933000000001</v>
      </c>
      <c r="N7" s="92"/>
      <c r="O7" s="92" t="s">
        <v>1121</v>
      </c>
      <c r="P7" s="92">
        <v>4.55</v>
      </c>
      <c r="R7" s="92"/>
      <c r="S7" s="92" t="s">
        <v>1121</v>
      </c>
      <c r="T7" s="92">
        <v>4.55</v>
      </c>
    </row>
    <row r="8" spans="1:20" ht="18.5">
      <c r="A8" s="401" t="s">
        <v>894</v>
      </c>
      <c r="B8" s="409" t="s">
        <v>79</v>
      </c>
      <c r="C8" s="457"/>
      <c r="D8" s="71">
        <f>P16</f>
        <v>1163.4222740119999</v>
      </c>
      <c r="E8" s="71"/>
      <c r="N8" s="92"/>
      <c r="O8" s="92" t="s">
        <v>1122</v>
      </c>
      <c r="P8" s="92">
        <v>2</v>
      </c>
      <c r="R8" s="92"/>
      <c r="S8" s="92" t="s">
        <v>1122</v>
      </c>
      <c r="T8" s="92">
        <v>2</v>
      </c>
    </row>
    <row r="9" spans="1:20" ht="18.5">
      <c r="A9" s="403"/>
      <c r="B9" s="404"/>
      <c r="C9" s="457">
        <v>415</v>
      </c>
      <c r="D9" s="71"/>
      <c r="E9" s="71">
        <f>C9*67</f>
        <v>27805</v>
      </c>
      <c r="N9" s="92"/>
      <c r="O9" s="92" t="s">
        <v>1123</v>
      </c>
      <c r="P9" s="92">
        <f>SUM(P6:P8)</f>
        <v>37.016239999999996</v>
      </c>
      <c r="R9" s="92"/>
      <c r="S9" s="92" t="s">
        <v>1123</v>
      </c>
      <c r="T9" s="92">
        <f>SUM(T6:T8)</f>
        <v>6.55</v>
      </c>
    </row>
    <row r="10" spans="1:20" ht="18.5">
      <c r="A10" s="401" t="s">
        <v>895</v>
      </c>
      <c r="B10" s="409" t="s">
        <v>49</v>
      </c>
      <c r="C10" s="457"/>
      <c r="D10" s="71">
        <f>T16</f>
        <v>213.67305200000004</v>
      </c>
      <c r="E10" s="71"/>
      <c r="N10" s="139" t="s">
        <v>1124</v>
      </c>
      <c r="O10" s="92"/>
      <c r="P10" s="92"/>
      <c r="R10" s="139" t="s">
        <v>1124</v>
      </c>
      <c r="S10" s="92"/>
      <c r="T10" s="92"/>
    </row>
    <row r="11" spans="1:20" ht="18.5">
      <c r="A11" s="403"/>
      <c r="B11" s="404"/>
      <c r="C11" s="457">
        <v>365</v>
      </c>
      <c r="D11" s="71"/>
      <c r="E11" s="71">
        <f t="shared" si="0"/>
        <v>24455</v>
      </c>
      <c r="N11" s="92"/>
      <c r="O11" s="92" t="s">
        <v>1125</v>
      </c>
      <c r="P11" s="92">
        <v>24.880050000000001</v>
      </c>
      <c r="R11" s="92"/>
      <c r="S11" s="92" t="s">
        <v>1125</v>
      </c>
      <c r="T11" s="92">
        <v>26.071840000000002</v>
      </c>
    </row>
    <row r="12" spans="1:20" ht="18.5">
      <c r="A12" s="401" t="s">
        <v>896</v>
      </c>
      <c r="B12" s="409" t="s">
        <v>79</v>
      </c>
      <c r="C12" s="457"/>
      <c r="D12" s="71">
        <f>P16</f>
        <v>1163.4222740119999</v>
      </c>
      <c r="E12" s="71"/>
      <c r="N12" s="92"/>
      <c r="O12" s="92" t="s">
        <v>1121</v>
      </c>
      <c r="P12" s="92">
        <v>4.55</v>
      </c>
      <c r="R12" s="92"/>
      <c r="S12" s="92" t="s">
        <v>1121</v>
      </c>
      <c r="T12" s="92">
        <v>4.55</v>
      </c>
    </row>
    <row r="13" spans="1:20" ht="18.5">
      <c r="A13" s="403"/>
      <c r="B13" s="404"/>
      <c r="C13" s="457">
        <v>330</v>
      </c>
      <c r="D13" s="71"/>
      <c r="E13" s="71">
        <f t="shared" si="0"/>
        <v>22110</v>
      </c>
      <c r="N13" s="92"/>
      <c r="O13" s="92" t="s">
        <v>1122</v>
      </c>
      <c r="P13" s="92">
        <v>2</v>
      </c>
      <c r="R13" s="92"/>
      <c r="S13" s="92" t="s">
        <v>1122</v>
      </c>
      <c r="T13" s="92">
        <v>2</v>
      </c>
    </row>
    <row r="14" spans="1:20" ht="18.5">
      <c r="A14" s="401" t="s">
        <v>897</v>
      </c>
      <c r="B14" s="409" t="s">
        <v>49</v>
      </c>
      <c r="C14" s="457"/>
      <c r="D14" s="71">
        <f>T16</f>
        <v>213.67305200000004</v>
      </c>
      <c r="E14" s="71"/>
      <c r="N14" s="92"/>
      <c r="O14" s="92" t="s">
        <v>1126</v>
      </c>
      <c r="P14" s="92">
        <f>SUM(P11:P13)</f>
        <v>31.430050000000001</v>
      </c>
      <c r="R14" s="92"/>
      <c r="S14" s="92" t="s">
        <v>1126</v>
      </c>
      <c r="T14" s="92">
        <f>SUM(T11:T13)</f>
        <v>32.621840000000006</v>
      </c>
    </row>
    <row r="15" spans="1:20" ht="18.5">
      <c r="A15" s="403"/>
      <c r="B15" s="404"/>
      <c r="C15" s="457">
        <v>457</v>
      </c>
      <c r="D15" s="71"/>
      <c r="E15" s="71">
        <f t="shared" si="0"/>
        <v>30619</v>
      </c>
      <c r="N15" s="92"/>
      <c r="O15" s="92"/>
      <c r="P15" s="92"/>
      <c r="R15" s="92"/>
      <c r="S15" s="92"/>
      <c r="T15" s="92"/>
    </row>
    <row r="16" spans="1:20" ht="18.5">
      <c r="A16" s="401" t="s">
        <v>898</v>
      </c>
      <c r="B16" s="409" t="s">
        <v>49</v>
      </c>
      <c r="C16" s="457"/>
      <c r="D16" s="71">
        <f>T16</f>
        <v>213.67305200000004</v>
      </c>
      <c r="E16" s="71"/>
      <c r="N16" s="92"/>
      <c r="O16" s="92" t="s">
        <v>1127</v>
      </c>
      <c r="P16" s="92">
        <f>P14*P9</f>
        <v>1163.4222740119999</v>
      </c>
      <c r="R16" s="92"/>
      <c r="S16" s="92" t="s">
        <v>1127</v>
      </c>
      <c r="T16" s="92">
        <f>T14*T9</f>
        <v>213.67305200000004</v>
      </c>
    </row>
    <row r="17" spans="1:20" ht="18.5">
      <c r="A17" s="403"/>
      <c r="B17" s="404"/>
      <c r="C17" s="457">
        <v>354.61200000000002</v>
      </c>
      <c r="D17" s="71"/>
      <c r="E17" s="71">
        <f t="shared" si="0"/>
        <v>23759.004000000001</v>
      </c>
    </row>
    <row r="18" spans="1:20" ht="18.5">
      <c r="A18" s="403" t="s">
        <v>257</v>
      </c>
      <c r="B18" s="404" t="s">
        <v>227</v>
      </c>
      <c r="C18" s="456"/>
      <c r="D18" s="71">
        <f>T30</f>
        <v>34911639.162063986</v>
      </c>
      <c r="E18" s="71"/>
      <c r="N18" s="139" t="s">
        <v>226</v>
      </c>
      <c r="O18" s="92"/>
      <c r="P18" s="92"/>
      <c r="R18" s="139" t="s">
        <v>227</v>
      </c>
      <c r="S18" s="92"/>
      <c r="T18" s="92"/>
    </row>
    <row r="19" spans="1:20">
      <c r="N19" s="139" t="s">
        <v>377</v>
      </c>
      <c r="O19" s="92"/>
      <c r="P19" s="92"/>
      <c r="R19" s="139" t="s">
        <v>377</v>
      </c>
      <c r="S19" s="92"/>
      <c r="T19" s="92"/>
    </row>
    <row r="20" spans="1:20">
      <c r="N20" s="92"/>
      <c r="O20" s="92" t="s">
        <v>1131</v>
      </c>
      <c r="P20" s="92">
        <v>25.238</v>
      </c>
      <c r="R20" s="92"/>
      <c r="S20" s="92" t="s">
        <v>1131</v>
      </c>
      <c r="T20" s="92">
        <v>26.607209999999998</v>
      </c>
    </row>
    <row r="21" spans="1:20">
      <c r="N21" s="92"/>
      <c r="O21" s="92" t="s">
        <v>1121</v>
      </c>
      <c r="P21" s="92">
        <v>5880</v>
      </c>
      <c r="R21" s="92"/>
      <c r="S21" s="92" t="s">
        <v>1121</v>
      </c>
      <c r="T21" s="92">
        <v>5880</v>
      </c>
    </row>
    <row r="22" spans="1:20">
      <c r="N22" s="92"/>
      <c r="O22" s="92" t="s">
        <v>1122</v>
      </c>
      <c r="P22" s="92">
        <v>2</v>
      </c>
      <c r="R22" s="92"/>
      <c r="S22" s="92" t="s">
        <v>1122</v>
      </c>
      <c r="T22" s="92">
        <v>2</v>
      </c>
    </row>
    <row r="23" spans="1:20">
      <c r="N23" s="92"/>
      <c r="O23" s="92" t="s">
        <v>1123</v>
      </c>
      <c r="P23" s="92">
        <f>SUM(P20:P22)</f>
        <v>5907.2380000000003</v>
      </c>
      <c r="R23" s="92"/>
      <c r="S23" s="92" t="s">
        <v>1123</v>
      </c>
      <c r="T23" s="92">
        <f>SUM(T20:T22)</f>
        <v>5908.6072100000001</v>
      </c>
    </row>
    <row r="24" spans="1:20">
      <c r="N24" s="139" t="s">
        <v>1124</v>
      </c>
      <c r="O24" s="92"/>
      <c r="P24" s="92"/>
      <c r="R24" s="139" t="s">
        <v>1124</v>
      </c>
      <c r="S24" s="92"/>
      <c r="T24" s="92"/>
    </row>
    <row r="25" spans="1:20">
      <c r="N25" s="92"/>
      <c r="O25" s="92" t="s">
        <v>1131</v>
      </c>
      <c r="P25" s="92">
        <v>25.238</v>
      </c>
      <c r="R25" s="92"/>
      <c r="S25" s="92" t="s">
        <v>1131</v>
      </c>
      <c r="T25" s="92">
        <v>26.607209999999998</v>
      </c>
    </row>
    <row r="26" spans="1:20">
      <c r="N26" s="92"/>
      <c r="O26" s="92" t="s">
        <v>1121</v>
      </c>
      <c r="P26" s="92">
        <v>5880</v>
      </c>
      <c r="R26" s="92"/>
      <c r="S26" s="92" t="s">
        <v>1121</v>
      </c>
      <c r="T26" s="92">
        <v>5880</v>
      </c>
    </row>
    <row r="27" spans="1:20">
      <c r="N27" s="92"/>
      <c r="O27" s="92" t="s">
        <v>1122</v>
      </c>
      <c r="P27" s="92">
        <v>2</v>
      </c>
      <c r="R27" s="92"/>
      <c r="S27" s="92" t="s">
        <v>1122</v>
      </c>
      <c r="T27" s="92">
        <v>2</v>
      </c>
    </row>
    <row r="28" spans="1:20">
      <c r="N28" s="92"/>
      <c r="O28" s="92" t="s">
        <v>1126</v>
      </c>
      <c r="P28" s="92">
        <f>SUM(P25:P27)</f>
        <v>5907.2380000000003</v>
      </c>
      <c r="R28" s="92"/>
      <c r="S28" s="92" t="s">
        <v>1126</v>
      </c>
      <c r="T28" s="92">
        <f>SUM(T25:T27)</f>
        <v>5908.6072100000001</v>
      </c>
    </row>
    <row r="29" spans="1:20">
      <c r="N29" s="92"/>
      <c r="O29" s="92"/>
      <c r="P29" s="92"/>
      <c r="R29" s="92"/>
      <c r="S29" s="92"/>
      <c r="T29" s="92"/>
    </row>
    <row r="30" spans="1:20">
      <c r="N30" s="92"/>
      <c r="O30" s="92" t="s">
        <v>1133</v>
      </c>
      <c r="P30" s="92">
        <f>P28*P23</f>
        <v>34895460.788644001</v>
      </c>
      <c r="R30" s="92"/>
      <c r="S30" s="92" t="s">
        <v>1134</v>
      </c>
      <c r="T30" s="92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2026-06-24T05:41:43Z</cp:lastPrinted>
  <dcterms:created xsi:type="dcterms:W3CDTF">2014-09-09T10:51:37Z</dcterms:created>
  <dcterms:modified xsi:type="dcterms:W3CDTF">2026-06-27T05:30:49Z</dcterms:modified>
</cp:coreProperties>
</file>